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A. ENRL &amp; FILL RATES" sheetId="2" r:id="rId5"/>
    <sheet name="B. PRODUCTIVITY" sheetId="3" r:id="rId6"/>
    <sheet name="C. SUCCESS &amp; RETENTION" sheetId="4" r:id="rId7"/>
    <sheet name="D. SUCC &amp; RET BY ETHN" sheetId="5" r:id="rId8"/>
    <sheet name="E. SUCC &amp; RET BY AGE" sheetId="6" r:id="rId9"/>
    <sheet name="F. SUCC &amp; RET BY GENDER" sheetId="7" r:id="rId10"/>
    <sheet name="G. DEGREES &amp; CERTS" sheetId="8" r:id="rId11"/>
    <sheet name="H. COURSE DATA" sheetId="9" r:id="rId12"/>
    <sheet name="I. SECTION DATA" sheetId="10" r:id="rId13"/>
    <sheet name="Worksheet" sheetId="11" r:id="rId14"/>
  </sheets>
  <definedNames>
    <definedName name="course_data">'H. COURSE DATA'!$A$5:$T$131</definedName>
    <definedName name="_xlnm._FilterDatabase" localSheetId="8" hidden="1">'H. COURSE DATA'!$A$5:$T$131</definedName>
    <definedName name="_xlnm.Print_Titles" localSheetId="8">'H. COURSE DATA'!$5:$5</definedName>
    <definedName name="_xlnm._FilterDatabase" localSheetId="9" hidden="1">'I. SECTION DATA'!$A$5:$S$253</definedName>
    <definedName name="_xlnm.Print_Titles" localSheetId="9">'I. SECTION DATA'!$5:$5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<sst xmlns="http://schemas.openxmlformats.org/spreadsheetml/2006/main" uniqueCount="187">
  <si>
    <t>Psychology</t>
  </si>
  <si>
    <t>2017-2018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</si>
  <si>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</si>
  <si>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</si>
  <si>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</si>
  <si>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</si>
  <si>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</si>
  <si>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</si>
  <si>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a. Enrollment and Fill Rates</t>
  </si>
  <si>
    <t>Discuss the trends in enrollment and fill rate for each program by day and evening at the program level.</t>
  </si>
  <si>
    <t>Day Sections</t>
  </si>
  <si>
    <t>Extended Day</t>
  </si>
  <si>
    <t>Online</t>
  </si>
  <si>
    <t>Term</t>
  </si>
  <si>
    <t>Sections</t>
  </si>
  <si>
    <t>Fill</t>
  </si>
  <si>
    <t>Enroll</t>
  </si>
  <si>
    <t>Mass Cap</t>
  </si>
  <si>
    <t>Fall 2015</t>
  </si>
  <si>
    <t>Winter 2016</t>
  </si>
  <si>
    <t>Spring 2016</t>
  </si>
  <si>
    <t>Summer 2016</t>
  </si>
  <si>
    <t>Fall 2016</t>
  </si>
  <si>
    <t>Winter 2017</t>
  </si>
  <si>
    <t>Spring 2017</t>
  </si>
  <si>
    <t>Summer 2017</t>
  </si>
  <si>
    <t>Fall 2017</t>
  </si>
  <si>
    <t>Winter 2018</t>
  </si>
  <si>
    <t>Spring 2018</t>
  </si>
  <si>
    <t>Summer 2018</t>
  </si>
  <si>
    <t>Totals &amp; Averages:</t>
  </si>
  <si>
    <t>Academic Year</t>
  </si>
  <si>
    <t>2014-2015-2016</t>
  </si>
  <si>
    <t>2015-2016-2017</t>
  </si>
  <si>
    <t>2016-2017-2018</t>
  </si>
  <si>
    <t>Data Definitions and Calculations</t>
  </si>
  <si>
    <t>Academic Year:</t>
  </si>
  <si>
    <t>Period of time schools use to measure a quantity of study. Academic year for Imperial Valley College is from July 1st to June 30th.</t>
  </si>
  <si>
    <t>Day Sections:</t>
  </si>
  <si>
    <t>Indicates whether this course section is a day class, courses before 4:30pm.</t>
  </si>
  <si>
    <t>Enrollment:</t>
  </si>
  <si>
    <t>The number of students in the class. Students may be enrolled in more than one course and would be counted in each course for the term.</t>
  </si>
  <si>
    <t>Extended Day:</t>
  </si>
  <si>
    <t>Indicates whether this course section is an evening class, courses after 4:30 pm.</t>
  </si>
  <si>
    <t>Fill:</t>
  </si>
  <si>
    <t>Metric used to measure demand of a course/section. Enrollment is divided by the class mass cap. ( Enrollment / Mass Cap ) = Fill Rate</t>
  </si>
  <si>
    <t>Mass Cap:</t>
  </si>
  <si>
    <t>Refers to the class capacity, maximum number of students a teacher may face during a given period of instruction.</t>
  </si>
  <si>
    <t>Online:</t>
  </si>
  <si>
    <t>Indicates whether this course section is online.</t>
  </si>
  <si>
    <t>Section:</t>
  </si>
  <si>
    <t>An offering of a course.</t>
  </si>
  <si>
    <t>b. Productivity</t>
  </si>
  <si>
    <t>What are the trends in productivity?</t>
  </si>
  <si>
    <t>WSCH</t>
  </si>
  <si>
    <t>FTEF</t>
  </si>
  <si>
    <t>WSCH/FTEF</t>
  </si>
  <si>
    <t>2015-2016</t>
  </si>
  <si>
    <t>2016-2017</t>
  </si>
  <si>
    <t>Disclaimer: This report reflects Productivity using the 16-week Term Length Multiplier (TLM).</t>
  </si>
  <si>
    <t>Please do not compare Productivity to previous program review reports using the 18-week TLM.</t>
  </si>
  <si>
    <t>FTEF:</t>
  </si>
  <si>
    <t>In a FTEF, a faculty member’s actual workload is standardized against the teaching load. Thus, FTEF does not represent an actual number of faculty members; it is a conceptual measure workload at an academic department, or an institution. The formula to calculate FTEF is expressed by the equation below: FTEF = WFCH / Contract teaching load of the discipline where WFCH = standard course hours</t>
  </si>
  <si>
    <t>Productivity (WSCH/FTEF):</t>
  </si>
  <si>
    <t>Statewide, a measure of efficiency is WSCH/FTEF where WSCH is divided by the Full-time Equivalent Faculty (FTEF).  This tells us how much of a faculty load it takes to generate a given WSCH. District has established 565 as the target WSCH/FTEF standard.</t>
  </si>
  <si>
    <t>Weekly Student Contact Hours (WSCH):</t>
  </si>
  <si>
    <t>It presents a total number of hours faculty contacted students weekly in an academic department or an institution. WSCH = census enrollment x class hours per week (WCH).</t>
  </si>
  <si>
    <t>c. Success and Retention</t>
  </si>
  <si>
    <t>Discuss the success and retention rates by day, evening (extended day), and online classes in each program and identify gaps.</t>
  </si>
  <si>
    <t>Enrollment</t>
  </si>
  <si>
    <t>Success Rate</t>
  </si>
  <si>
    <t>Retention Rate</t>
  </si>
  <si>
    <t>Retention:</t>
  </si>
  <si>
    <t>The rate or count of students retained in a class at the end of the semester. Retention rate = (A,B,C,D,F,N,P,I)/(A,B,C,D,F,P,N,I,W).</t>
  </si>
  <si>
    <t>Success:</t>
  </si>
  <si>
    <t>The rate or count of students who received a passing grade of A, B, C, P at the end of the semester. Success rate = (A,B,C,P)/(A,B,C,D,F,P,N,W,I)</t>
  </si>
  <si>
    <t>d. Success and Retention by Ethnicity</t>
  </si>
  <si>
    <t>Discuss the success and retention rates by demographic diversity of students.</t>
  </si>
  <si>
    <t>African-American</t>
  </si>
  <si>
    <t>Hispanic</t>
  </si>
  <si>
    <t>White</t>
  </si>
  <si>
    <t>Other</t>
  </si>
  <si>
    <t>Unknown, Non-Responsive</t>
  </si>
  <si>
    <t>#</t>
  </si>
  <si>
    <t>Success</t>
  </si>
  <si>
    <t>Retention</t>
  </si>
  <si>
    <t>Total:</t>
  </si>
  <si>
    <t>The rate or count of students retained in a class at the end of the semester. Retention rate = (A,B,C,D,F,N,P,I)/(A,B,C,D,F,P,N,I,W)</t>
  </si>
  <si>
    <t>e. Success and Retention by Age</t>
  </si>
  <si>
    <t>Discuss the success and retention rates by student age groups.</t>
  </si>
  <si>
    <t>19 or Less</t>
  </si>
  <si>
    <t>20 to 24</t>
  </si>
  <si>
    <t>25 to 29</t>
  </si>
  <si>
    <t>30 to 34</t>
  </si>
  <si>
    <t>35 to 39</t>
  </si>
  <si>
    <t>40 to 49</t>
  </si>
  <si>
    <t>50 +</t>
  </si>
  <si>
    <t>f. Success and Retention by Gender</t>
  </si>
  <si>
    <t>Discuss the success and retention rates by the gender of our students.</t>
  </si>
  <si>
    <t>Female</t>
  </si>
  <si>
    <t>Male</t>
  </si>
  <si>
    <t>Unknown</t>
  </si>
  <si>
    <t>g. Degrees and Certificates</t>
  </si>
  <si>
    <t>Discuss the trends in the number of degrees and/or certificates awarded.</t>
  </si>
  <si>
    <t>ACADEMIC_YEAR</t>
  </si>
  <si>
    <t>MAJOR</t>
  </si>
  <si>
    <t>DEGREE</t>
  </si>
  <si>
    <t>PROGRAM</t>
  </si>
  <si>
    <t>MAJOR_DESC</t>
  </si>
  <si>
    <t>TOTAL_STUDENTS</t>
  </si>
  <si>
    <t>2011-2012</t>
  </si>
  <si>
    <t>PSY</t>
  </si>
  <si>
    <t>AA</t>
  </si>
  <si>
    <t>PSYCH-AA</t>
  </si>
  <si>
    <t>2012-2013</t>
  </si>
  <si>
    <t>2013-2014</t>
  </si>
  <si>
    <t>2014-2015</t>
  </si>
  <si>
    <t>PSYT</t>
  </si>
  <si>
    <t>AA-T</t>
  </si>
  <si>
    <t>PSYCH-AA-T</t>
  </si>
  <si>
    <t>Psychology for Transfer</t>
  </si>
  <si>
    <t>AAT/IG</t>
  </si>
  <si>
    <t>PSYCH-AAT/IG</t>
  </si>
  <si>
    <t>Major:</t>
  </si>
  <si>
    <t>Specific subject area that students specialize in.</t>
  </si>
  <si>
    <t>Program:</t>
  </si>
  <si>
    <t>1. a systematic, usually sequential, grouping of courses that forms a considerable part, or all, of the requirements for a degree in a major or professional field; 2. sometimes refers to the total educational offering of an institution.</t>
  </si>
  <si>
    <t>H. Course Data</t>
  </si>
  <si>
    <t>Analyze the raw course data information if needed.</t>
  </si>
  <si>
    <t>To create an Excel table simply click a cell inside of the data below, then switch to the Insert tab above and click on Table and it will give you more filtering features.</t>
  </si>
  <si>
    <t>TERM_NAME</t>
  </si>
  <si>
    <t>TERM_CODE</t>
  </si>
  <si>
    <t>SUBJECT</t>
  </si>
  <si>
    <t>COURSE</t>
  </si>
  <si>
    <t>CLASS_TYPE</t>
  </si>
  <si>
    <t>SECTIONS</t>
  </si>
  <si>
    <t>PASSED</t>
  </si>
  <si>
    <t>RETAINED</t>
  </si>
  <si>
    <t>ENROLLED</t>
  </si>
  <si>
    <t>SUCCESS_NUMERATOR</t>
  </si>
  <si>
    <t>SUCCESS</t>
  </si>
  <si>
    <t>RETENTION_NUMERATOR</t>
  </si>
  <si>
    <t>RETENTION</t>
  </si>
  <si>
    <t>WCH</t>
  </si>
  <si>
    <t>PRODUCTIVITY</t>
  </si>
  <si>
    <t>FTES</t>
  </si>
  <si>
    <t>WSCH_PER_FTES</t>
  </si>
  <si>
    <t>PSY101</t>
  </si>
  <si>
    <t>day</t>
  </si>
  <si>
    <t>ex_day</t>
  </si>
  <si>
    <t>online</t>
  </si>
  <si>
    <t>PSY142</t>
  </si>
  <si>
    <t>PSY144</t>
  </si>
  <si>
    <t>PSY146</t>
  </si>
  <si>
    <t>PSY200</t>
  </si>
  <si>
    <t>PSY202</t>
  </si>
  <si>
    <t>PSY204</t>
  </si>
  <si>
    <t>PSY206</t>
  </si>
  <si>
    <t>PSY208</t>
  </si>
  <si>
    <t>PSY212</t>
  </si>
  <si>
    <t>PSY214</t>
  </si>
  <si>
    <t>i. Section Data</t>
  </si>
  <si>
    <t>Analyze the raw section data information if needed.</t>
  </si>
  <si>
    <t>CRN</t>
  </si>
  <si>
    <t>DURATION</t>
  </si>
  <si>
    <t>INSTRUCTOR</t>
  </si>
  <si>
    <t>AVG_GPA</t>
  </si>
  <si>
    <t>Full Term</t>
  </si>
  <si>
    <t>Nunez</t>
  </si>
  <si>
    <t>Finnell</t>
  </si>
  <si>
    <t>Staton</t>
  </si>
  <si>
    <t>Rodiles</t>
  </si>
  <si>
    <t>McSee</t>
  </si>
  <si>
    <t>Olea</t>
  </si>
  <si>
    <t>Alvarez</t>
  </si>
  <si>
    <t>Canez</t>
  </si>
  <si>
    <t>Williams</t>
  </si>
  <si>
    <t>Rolland-Druihet</t>
  </si>
  <si>
    <t>Ross</t>
  </si>
  <si>
    <t>Lofgren</t>
  </si>
  <si>
    <t>Barrios</t>
  </si>
  <si>
    <t>Short Term</t>
  </si>
  <si>
    <t>Landeros</t>
  </si>
  <si>
    <t>Minor</t>
  </si>
  <si>
    <t>Wyatt</t>
  </si>
  <si>
    <t>Duva</t>
  </si>
  <si>
    <t>Pipkin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</si>
</sst>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  <fill>
      <patternFill patternType="solid">
        <fgColor rgb="FFCD2E26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right" vertical="bottom" textRotation="0" wrapText="fals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5" numFmtId="0" fillId="5" borderId="1" applyFont="1" applyNumberFormat="0" applyFill="1" applyBorder="1" applyAlignment="0">
      <alignment horizontal="general" vertical="bottom" textRotation="0" wrapText="false" shrinkToFit="false"/>
    </xf>
    <xf xfId="0" fontId="0" numFmtId="0" fillId="5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general" vertical="bottom" textRotation="0" wrapText="true" shrinkToFit="false"/>
    </xf>
    <xf xfId="0" fontId="4" numFmtId="0" fillId="0" borderId="0" applyFont="1" applyNumberFormat="0" applyFill="0" applyBorder="0" applyAlignment="1">
      <alignment horizontal="right" vertical="top" textRotation="0" wrapText="false" shrinkToFit="false"/>
    </xf>
    <xf xfId="0" fontId="0" numFmtId="0" fillId="0" borderId="0" applyFont="0" applyNumberFormat="0" applyFill="0" applyBorder="0" applyAlignment="1">
      <alignment horizontal="general" vertical="top" textRotation="0" wrapText="true" shrinkToFit="false"/>
    </xf>
    <xf xfId="0" fontId="4" numFmtId="0" fillId="0" borderId="0" applyFont="1" applyNumberFormat="0" applyFill="0" applyBorder="0" applyAlignment="1">
      <alignment horizontal="right" vertical="top" textRotation="0" wrapText="true" shrinkToFit="false"/>
    </xf>
    <xf xfId="0" fontId="7" numFmtId="0" fillId="3" borderId="1" applyFont="1" applyNumberFormat="0" applyFill="1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right" vertical="bottom" textRotation="0" wrapText="false" shrinkToFit="false"/>
    </xf>
    <xf xfId="0" fontId="7" numFmtId="0" fillId="3" borderId="1" applyFont="1" applyNumberFormat="0" applyFill="1" applyBorder="1" applyAlignment="1">
      <alignment horizontal="left" vertical="bottom" textRotation="0" wrapText="false" shrinkToFit="false"/>
    </xf>
    <xf xfId="0" fontId="0" numFmtId="0" fillId="4" borderId="1" applyFont="0" applyNumberFormat="0" applyFill="1" applyBorder="1" applyAlignment="0">
      <alignment horizontal="general" vertical="bottom" textRotation="0" wrapText="false" shrinkToFit="false"/>
    </xf>
    <xf xfId="0" fontId="0" numFmtId="10" fillId="4" borderId="1" applyFont="0" applyNumberFormat="1" applyFill="1" applyBorder="1" applyAlignment="0">
      <alignment horizontal="general" vertical="bottom" textRotation="0" wrapText="false" shrinkToFit="false"/>
    </xf>
    <xf xfId="0" fontId="0" numFmtId="10" fillId="0" borderId="1" applyFont="0" applyNumberFormat="1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006100"/>
      </font>
      <fill>
        <patternFill patternType="solid">
          <bgColor rgb="FFC6EFCE"/>
        </patternFill>
      </fill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73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PSY&amp;RPrinted on &amp;D</oddHeader>
    <oddFooter>&amp;L&amp;BGenerated By: Office of Institutional Research&amp;RPage &amp;P of &amp;N</oddFooter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  <pageSetUpPr fitToPage="1"/>
  </sheetPr>
  <dimension ref="A1:S253"/>
  <sheetViews>
    <sheetView tabSelected="0" workbookViewId="0" showGridLines="true" showRowColHeaders="1">
      <selection activeCell="R6" sqref="R6"/>
    </sheetView>
  </sheetViews>
  <sheetFormatPr defaultRowHeight="14.4" outlineLevelRow="0" outlineLevelCol="0"/>
  <cols>
    <col min="1" max="1" width="15" customWidth="true" style="0"/>
    <col min="2" max="2" width="14" hidden="true" customWidth="true" style="0"/>
    <col min="3" max="3" width="12" customWidth="true" style="0"/>
    <col min="4" max="4" width="8" customWidth="true" style="0"/>
    <col min="5" max="5" width="8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8" customWidth="true" style="0"/>
    <col min="11" max="11" width="10" customWidth="true" style="0"/>
    <col min="12" max="12" width="10" customWidth="true" style="0"/>
    <col min="13" max="13" width="10" customWidth="true" style="0"/>
    <col min="14" max="14" width="11" customWidth="true" style="0"/>
    <col min="15" max="15" width="8" customWidth="true" style="0"/>
    <col min="16" max="16" width="8" customWidth="true" style="0"/>
    <col min="17" max="17" width="15" customWidth="true" style="0"/>
    <col min="18" max="18" width="12" customWidth="true" style="0"/>
    <col min="19" max="19" width="15" customWidth="true" style="0"/>
  </cols>
  <sheetData>
    <row r="1" spans="1:19">
      <c r="A1" s="6" t="s">
        <v>161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</row>
    <row r="2" spans="1:19">
      <c r="A2" s="7" t="s">
        <v>162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</row>
    <row r="3" spans="1:19">
      <c r="A3" s="7" t="s">
        <v>129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</row>
    <row r="5" spans="1:19">
      <c r="A5" s="29" t="s">
        <v>104</v>
      </c>
      <c r="B5" s="25" t="s">
        <v>130</v>
      </c>
      <c r="C5" s="29" t="s">
        <v>131</v>
      </c>
      <c r="D5" s="29" t="s">
        <v>163</v>
      </c>
      <c r="E5" s="25" t="s">
        <v>132</v>
      </c>
      <c r="F5" s="25" t="s">
        <v>133</v>
      </c>
      <c r="G5" s="25" t="s">
        <v>134</v>
      </c>
      <c r="H5" s="25" t="s">
        <v>164</v>
      </c>
      <c r="I5" s="25" t="s">
        <v>165</v>
      </c>
      <c r="J5" s="29" t="s">
        <v>136</v>
      </c>
      <c r="K5" s="29" t="s">
        <v>137</v>
      </c>
      <c r="L5" s="29" t="s">
        <v>138</v>
      </c>
      <c r="M5" s="29" t="s">
        <v>140</v>
      </c>
      <c r="N5" s="29" t="s">
        <v>142</v>
      </c>
      <c r="O5" s="29" t="s">
        <v>166</v>
      </c>
      <c r="P5" s="29" t="s">
        <v>143</v>
      </c>
      <c r="Q5" s="29" t="s">
        <v>55</v>
      </c>
      <c r="R5" s="29" t="s">
        <v>144</v>
      </c>
      <c r="S5" s="29" t="s">
        <v>145</v>
      </c>
    </row>
    <row r="6" spans="1:19">
      <c r="A6" s="30" t="s">
        <v>57</v>
      </c>
      <c r="B6" s="30" t="s">
        <v>18</v>
      </c>
      <c r="C6" s="30">
        <v>201610</v>
      </c>
      <c r="D6" s="30">
        <v>10607</v>
      </c>
      <c r="E6" s="30" t="s">
        <v>111</v>
      </c>
      <c r="F6" s="30" t="s">
        <v>147</v>
      </c>
      <c r="G6" s="30" t="s">
        <v>148</v>
      </c>
      <c r="H6" s="30" t="s">
        <v>167</v>
      </c>
      <c r="I6" s="30" t="s">
        <v>168</v>
      </c>
      <c r="J6" s="30">
        <v>22</v>
      </c>
      <c r="K6" s="30">
        <v>39</v>
      </c>
      <c r="L6" s="30">
        <v>42</v>
      </c>
      <c r="M6" s="31">
        <v>0.52381</v>
      </c>
      <c r="N6" s="31">
        <v>0.92857</v>
      </c>
      <c r="O6" s="30">
        <v>1.67</v>
      </c>
      <c r="P6" s="30">
        <v>3.375</v>
      </c>
      <c r="Q6" s="30">
        <v>0.2</v>
      </c>
      <c r="R6" s="30">
        <v>708.75</v>
      </c>
      <c r="S6" s="30">
        <v>4.04</v>
      </c>
    </row>
    <row r="7" spans="1:19">
      <c r="A7" s="26" t="s">
        <v>57</v>
      </c>
      <c r="B7" s="26" t="s">
        <v>18</v>
      </c>
      <c r="C7" s="26">
        <v>201610</v>
      </c>
      <c r="D7" s="26">
        <v>10608</v>
      </c>
      <c r="E7" s="26" t="s">
        <v>111</v>
      </c>
      <c r="F7" s="26" t="s">
        <v>147</v>
      </c>
      <c r="G7" s="26" t="s">
        <v>148</v>
      </c>
      <c r="H7" s="26" t="s">
        <v>167</v>
      </c>
      <c r="I7" s="26" t="s">
        <v>169</v>
      </c>
      <c r="J7" s="26">
        <v>27</v>
      </c>
      <c r="K7" s="26">
        <v>35</v>
      </c>
      <c r="L7" s="26">
        <v>39</v>
      </c>
      <c r="M7" s="32">
        <v>0.69231</v>
      </c>
      <c r="N7" s="32">
        <v>0.89744</v>
      </c>
      <c r="O7" s="26">
        <v>2.08</v>
      </c>
      <c r="P7" s="26">
        <v>3.375</v>
      </c>
      <c r="Q7" s="26">
        <v>0.2</v>
      </c>
      <c r="R7" s="26">
        <v>658.13</v>
      </c>
      <c r="S7" s="26">
        <v>3.76</v>
      </c>
    </row>
    <row r="8" spans="1:19">
      <c r="A8" s="30" t="s">
        <v>57</v>
      </c>
      <c r="B8" s="30" t="s">
        <v>18</v>
      </c>
      <c r="C8" s="30">
        <v>201610</v>
      </c>
      <c r="D8" s="30">
        <v>10609</v>
      </c>
      <c r="E8" s="30" t="s">
        <v>111</v>
      </c>
      <c r="F8" s="30" t="s">
        <v>147</v>
      </c>
      <c r="G8" s="30" t="s">
        <v>148</v>
      </c>
      <c r="H8" s="30" t="s">
        <v>167</v>
      </c>
      <c r="I8" s="30" t="s">
        <v>170</v>
      </c>
      <c r="J8" s="30">
        <v>94</v>
      </c>
      <c r="K8" s="30">
        <v>115</v>
      </c>
      <c r="L8" s="30">
        <v>120</v>
      </c>
      <c r="M8" s="31">
        <v>0.78333</v>
      </c>
      <c r="N8" s="31">
        <v>0.95833</v>
      </c>
      <c r="O8" s="30">
        <v>2.32</v>
      </c>
      <c r="P8" s="30">
        <v>3.375</v>
      </c>
      <c r="Q8" s="30">
        <v>0.6</v>
      </c>
      <c r="R8" s="30">
        <v>675</v>
      </c>
      <c r="S8" s="30">
        <v>11.55</v>
      </c>
    </row>
    <row r="9" spans="1:19">
      <c r="A9" s="26" t="s">
        <v>57</v>
      </c>
      <c r="B9" s="26" t="s">
        <v>18</v>
      </c>
      <c r="C9" s="26">
        <v>201610</v>
      </c>
      <c r="D9" s="26">
        <v>10610</v>
      </c>
      <c r="E9" s="26" t="s">
        <v>111</v>
      </c>
      <c r="F9" s="26" t="s">
        <v>147</v>
      </c>
      <c r="G9" s="26" t="s">
        <v>148</v>
      </c>
      <c r="H9" s="26" t="s">
        <v>167</v>
      </c>
      <c r="I9" s="26" t="s">
        <v>169</v>
      </c>
      <c r="J9" s="26">
        <v>15</v>
      </c>
      <c r="K9" s="26">
        <v>30</v>
      </c>
      <c r="L9" s="26">
        <v>42</v>
      </c>
      <c r="M9" s="32">
        <v>0.35714</v>
      </c>
      <c r="N9" s="32">
        <v>0.71429</v>
      </c>
      <c r="O9" s="26">
        <v>1.24</v>
      </c>
      <c r="P9" s="26">
        <v>3.375</v>
      </c>
      <c r="Q9" s="26">
        <v>0.2</v>
      </c>
      <c r="R9" s="26">
        <v>708.75</v>
      </c>
      <c r="S9" s="26">
        <v>4.04</v>
      </c>
    </row>
    <row r="10" spans="1:19">
      <c r="A10" s="30" t="s">
        <v>57</v>
      </c>
      <c r="B10" s="30" t="s">
        <v>18</v>
      </c>
      <c r="C10" s="30">
        <v>201610</v>
      </c>
      <c r="D10" s="30">
        <v>10611</v>
      </c>
      <c r="E10" s="30" t="s">
        <v>111</v>
      </c>
      <c r="F10" s="30" t="s">
        <v>147</v>
      </c>
      <c r="G10" s="30" t="s">
        <v>148</v>
      </c>
      <c r="H10" s="30" t="s">
        <v>167</v>
      </c>
      <c r="I10" s="30" t="s">
        <v>171</v>
      </c>
      <c r="J10" s="30">
        <v>44</v>
      </c>
      <c r="K10" s="30">
        <v>48</v>
      </c>
      <c r="L10" s="30">
        <v>49</v>
      </c>
      <c r="M10" s="31">
        <v>0.89796</v>
      </c>
      <c r="N10" s="31">
        <v>0.97959</v>
      </c>
      <c r="O10" s="30">
        <v>3.02</v>
      </c>
      <c r="P10" s="30">
        <v>3.375</v>
      </c>
      <c r="Q10" s="30">
        <v>0.2</v>
      </c>
      <c r="R10" s="30">
        <v>826.88</v>
      </c>
      <c r="S10" s="30">
        <v>4.72</v>
      </c>
    </row>
    <row r="11" spans="1:19">
      <c r="A11" s="26" t="s">
        <v>57</v>
      </c>
      <c r="B11" s="26" t="s">
        <v>18</v>
      </c>
      <c r="C11" s="26">
        <v>201610</v>
      </c>
      <c r="D11" s="26">
        <v>10612</v>
      </c>
      <c r="E11" s="26" t="s">
        <v>111</v>
      </c>
      <c r="F11" s="26" t="s">
        <v>147</v>
      </c>
      <c r="G11" s="26" t="s">
        <v>148</v>
      </c>
      <c r="H11" s="26" t="s">
        <v>167</v>
      </c>
      <c r="I11" s="26" t="s">
        <v>172</v>
      </c>
      <c r="J11" s="26">
        <v>33</v>
      </c>
      <c r="K11" s="26">
        <v>39</v>
      </c>
      <c r="L11" s="26">
        <v>42</v>
      </c>
      <c r="M11" s="32">
        <v>0.78571</v>
      </c>
      <c r="N11" s="32">
        <v>0.92857</v>
      </c>
      <c r="O11" s="26">
        <v>2.81</v>
      </c>
      <c r="P11" s="26">
        <v>3.375</v>
      </c>
      <c r="Q11" s="26">
        <v>0.2</v>
      </c>
      <c r="R11" s="26">
        <v>708.75</v>
      </c>
      <c r="S11" s="26">
        <v>4.04</v>
      </c>
    </row>
    <row r="12" spans="1:19">
      <c r="A12" s="30" t="s">
        <v>57</v>
      </c>
      <c r="B12" s="30" t="s">
        <v>18</v>
      </c>
      <c r="C12" s="30">
        <v>201610</v>
      </c>
      <c r="D12" s="30">
        <v>10613</v>
      </c>
      <c r="E12" s="30" t="s">
        <v>111</v>
      </c>
      <c r="F12" s="30" t="s">
        <v>147</v>
      </c>
      <c r="G12" s="30" t="s">
        <v>148</v>
      </c>
      <c r="H12" s="30" t="s">
        <v>167</v>
      </c>
      <c r="I12" s="30" t="s">
        <v>173</v>
      </c>
      <c r="J12" s="30">
        <v>22</v>
      </c>
      <c r="K12" s="30">
        <v>33</v>
      </c>
      <c r="L12" s="30">
        <v>37</v>
      </c>
      <c r="M12" s="31">
        <v>0.59459</v>
      </c>
      <c r="N12" s="31">
        <v>0.89189</v>
      </c>
      <c r="O12" s="30">
        <v>2.11</v>
      </c>
      <c r="P12" s="30">
        <v>3.375</v>
      </c>
      <c r="Q12" s="30">
        <v>0.2</v>
      </c>
      <c r="R12" s="30">
        <v>624.38</v>
      </c>
      <c r="S12" s="30">
        <v>3.66</v>
      </c>
    </row>
    <row r="13" spans="1:19">
      <c r="A13" s="26" t="s">
        <v>57</v>
      </c>
      <c r="B13" s="26" t="s">
        <v>18</v>
      </c>
      <c r="C13" s="26">
        <v>201610</v>
      </c>
      <c r="D13" s="26">
        <v>10614</v>
      </c>
      <c r="E13" s="26" t="s">
        <v>111</v>
      </c>
      <c r="F13" s="26" t="s">
        <v>147</v>
      </c>
      <c r="G13" s="26" t="s">
        <v>149</v>
      </c>
      <c r="H13" s="26" t="s">
        <v>167</v>
      </c>
      <c r="I13" s="26" t="s">
        <v>171</v>
      </c>
      <c r="J13" s="26">
        <v>23</v>
      </c>
      <c r="K13" s="26">
        <v>35</v>
      </c>
      <c r="L13" s="26">
        <v>40</v>
      </c>
      <c r="M13" s="32">
        <v>0.575</v>
      </c>
      <c r="N13" s="32">
        <v>0.875</v>
      </c>
      <c r="O13" s="26">
        <v>1.83</v>
      </c>
      <c r="P13" s="26">
        <v>3.375</v>
      </c>
      <c r="Q13" s="26">
        <v>0.2</v>
      </c>
      <c r="R13" s="26">
        <v>675</v>
      </c>
      <c r="S13" s="26">
        <v>3.95</v>
      </c>
    </row>
    <row r="14" spans="1:19">
      <c r="A14" s="30" t="s">
        <v>57</v>
      </c>
      <c r="B14" s="30" t="s">
        <v>18</v>
      </c>
      <c r="C14" s="30">
        <v>201610</v>
      </c>
      <c r="D14" s="30">
        <v>10615</v>
      </c>
      <c r="E14" s="30" t="s">
        <v>111</v>
      </c>
      <c r="F14" s="30" t="s">
        <v>147</v>
      </c>
      <c r="G14" s="30" t="s">
        <v>149</v>
      </c>
      <c r="H14" s="30" t="s">
        <v>167</v>
      </c>
      <c r="I14" s="30" t="s">
        <v>174</v>
      </c>
      <c r="J14" s="30">
        <v>24</v>
      </c>
      <c r="K14" s="30">
        <v>28</v>
      </c>
      <c r="L14" s="30">
        <v>39</v>
      </c>
      <c r="M14" s="31">
        <v>0.61538</v>
      </c>
      <c r="N14" s="31">
        <v>0.71795</v>
      </c>
      <c r="O14" s="30">
        <v>1.72</v>
      </c>
      <c r="P14" s="30">
        <v>3.375</v>
      </c>
      <c r="Q14" s="30">
        <v>0.2</v>
      </c>
      <c r="R14" s="30">
        <v>658.13</v>
      </c>
      <c r="S14" s="30">
        <v>3.85</v>
      </c>
    </row>
    <row r="15" spans="1:19">
      <c r="A15" s="26" t="s">
        <v>57</v>
      </c>
      <c r="B15" s="26" t="s">
        <v>18</v>
      </c>
      <c r="C15" s="26">
        <v>201610</v>
      </c>
      <c r="D15" s="26">
        <v>10616</v>
      </c>
      <c r="E15" s="26" t="s">
        <v>111</v>
      </c>
      <c r="F15" s="26" t="s">
        <v>147</v>
      </c>
      <c r="G15" s="26" t="s">
        <v>149</v>
      </c>
      <c r="H15" s="26" t="s">
        <v>167</v>
      </c>
      <c r="I15" s="26" t="s">
        <v>175</v>
      </c>
      <c r="J15" s="26">
        <v>38</v>
      </c>
      <c r="K15" s="26">
        <v>38</v>
      </c>
      <c r="L15" s="26">
        <v>38</v>
      </c>
      <c r="M15" s="32">
        <v>1</v>
      </c>
      <c r="N15" s="32">
        <v>1</v>
      </c>
      <c r="O15" s="26">
        <v>3.87</v>
      </c>
      <c r="P15" s="26">
        <v>3.375</v>
      </c>
      <c r="Q15" s="26">
        <v>0.2</v>
      </c>
      <c r="R15" s="26">
        <v>641.25</v>
      </c>
      <c r="S15" s="26">
        <v>3.66</v>
      </c>
    </row>
    <row r="16" spans="1:19">
      <c r="A16" s="30" t="s">
        <v>57</v>
      </c>
      <c r="B16" s="30" t="s">
        <v>18</v>
      </c>
      <c r="C16" s="30">
        <v>201610</v>
      </c>
      <c r="D16" s="30">
        <v>10617</v>
      </c>
      <c r="E16" s="30" t="s">
        <v>111</v>
      </c>
      <c r="F16" s="30" t="s">
        <v>147</v>
      </c>
      <c r="G16" s="30" t="s">
        <v>149</v>
      </c>
      <c r="H16" s="30" t="s">
        <v>167</v>
      </c>
      <c r="I16" s="30" t="s">
        <v>176</v>
      </c>
      <c r="J16" s="30">
        <v>22</v>
      </c>
      <c r="K16" s="30">
        <v>28</v>
      </c>
      <c r="L16" s="30">
        <v>30</v>
      </c>
      <c r="M16" s="31">
        <v>0.73333</v>
      </c>
      <c r="N16" s="31">
        <v>0.93333</v>
      </c>
      <c r="O16" s="30">
        <v>2.13</v>
      </c>
      <c r="P16" s="30">
        <v>3.375</v>
      </c>
      <c r="Q16" s="30">
        <v>0.2</v>
      </c>
      <c r="R16" s="30">
        <v>506.25</v>
      </c>
      <c r="S16" s="30">
        <v>2.89</v>
      </c>
    </row>
    <row r="17" spans="1:19">
      <c r="A17" s="26" t="s">
        <v>57</v>
      </c>
      <c r="B17" s="26" t="s">
        <v>18</v>
      </c>
      <c r="C17" s="26">
        <v>201610</v>
      </c>
      <c r="D17" s="26">
        <v>10618</v>
      </c>
      <c r="E17" s="26" t="s">
        <v>111</v>
      </c>
      <c r="F17" s="26" t="s">
        <v>147</v>
      </c>
      <c r="G17" s="26" t="s">
        <v>149</v>
      </c>
      <c r="H17" s="26" t="s">
        <v>167</v>
      </c>
      <c r="I17" s="26" t="s">
        <v>177</v>
      </c>
      <c r="J17" s="26">
        <v>22</v>
      </c>
      <c r="K17" s="26">
        <v>23</v>
      </c>
      <c r="L17" s="26">
        <v>23</v>
      </c>
      <c r="M17" s="32">
        <v>0.95652</v>
      </c>
      <c r="N17" s="32">
        <v>1</v>
      </c>
      <c r="O17" s="26">
        <v>3.17</v>
      </c>
      <c r="P17" s="26">
        <v>3.375</v>
      </c>
      <c r="Q17" s="26">
        <v>0.2</v>
      </c>
      <c r="R17" s="26">
        <v>388.13</v>
      </c>
      <c r="S17" s="26">
        <v>2.21</v>
      </c>
    </row>
    <row r="18" spans="1:19">
      <c r="A18" s="30" t="s">
        <v>57</v>
      </c>
      <c r="B18" s="30" t="s">
        <v>19</v>
      </c>
      <c r="C18" s="30">
        <v>201615</v>
      </c>
      <c r="D18" s="30">
        <v>15088</v>
      </c>
      <c r="E18" s="30" t="s">
        <v>111</v>
      </c>
      <c r="F18" s="30" t="s">
        <v>147</v>
      </c>
      <c r="G18" s="30" t="s">
        <v>148</v>
      </c>
      <c r="H18" s="30" t="s">
        <v>167</v>
      </c>
      <c r="I18" s="30" t="s">
        <v>178</v>
      </c>
      <c r="J18" s="30">
        <v>25</v>
      </c>
      <c r="K18" s="30">
        <v>26</v>
      </c>
      <c r="L18" s="30">
        <v>27</v>
      </c>
      <c r="M18" s="31">
        <v>0.92593</v>
      </c>
      <c r="N18" s="31">
        <v>0.96296</v>
      </c>
      <c r="O18" s="30">
        <v>2.56</v>
      </c>
      <c r="P18" s="30">
        <v>3.375</v>
      </c>
      <c r="Q18" s="30">
        <v>0.2</v>
      </c>
      <c r="R18" s="30">
        <v>455.63</v>
      </c>
      <c r="S18" s="30">
        <v>2.64</v>
      </c>
    </row>
    <row r="19" spans="1:19">
      <c r="A19" s="26" t="s">
        <v>57</v>
      </c>
      <c r="B19" s="26" t="s">
        <v>19</v>
      </c>
      <c r="C19" s="26">
        <v>201615</v>
      </c>
      <c r="D19" s="26">
        <v>15089</v>
      </c>
      <c r="E19" s="26" t="s">
        <v>111</v>
      </c>
      <c r="F19" s="26" t="s">
        <v>147</v>
      </c>
      <c r="G19" s="26" t="s">
        <v>148</v>
      </c>
      <c r="H19" s="26" t="s">
        <v>167</v>
      </c>
      <c r="I19" s="26" t="s">
        <v>178</v>
      </c>
      <c r="J19" s="26">
        <v>32</v>
      </c>
      <c r="K19" s="26">
        <v>32</v>
      </c>
      <c r="L19" s="26">
        <v>34</v>
      </c>
      <c r="M19" s="32">
        <v>0.94118</v>
      </c>
      <c r="N19" s="32">
        <v>0.94118</v>
      </c>
      <c r="O19" s="26">
        <v>2.76</v>
      </c>
      <c r="P19" s="26">
        <v>3.375</v>
      </c>
      <c r="Q19" s="26">
        <v>0.2</v>
      </c>
      <c r="R19" s="26">
        <v>573.75</v>
      </c>
      <c r="S19" s="26">
        <v>3.32</v>
      </c>
    </row>
    <row r="20" spans="1:19">
      <c r="A20" s="30" t="s">
        <v>57</v>
      </c>
      <c r="B20" s="30" t="s">
        <v>19</v>
      </c>
      <c r="C20" s="30">
        <v>201615</v>
      </c>
      <c r="D20" s="30">
        <v>15090</v>
      </c>
      <c r="E20" s="30" t="s">
        <v>111</v>
      </c>
      <c r="F20" s="30" t="s">
        <v>147</v>
      </c>
      <c r="G20" s="30" t="s">
        <v>149</v>
      </c>
      <c r="H20" s="30" t="s">
        <v>167</v>
      </c>
      <c r="I20" s="30" t="s">
        <v>179</v>
      </c>
      <c r="J20" s="30">
        <v>10</v>
      </c>
      <c r="K20" s="30">
        <v>10</v>
      </c>
      <c r="L20" s="30">
        <v>10</v>
      </c>
      <c r="M20" s="31">
        <v>1</v>
      </c>
      <c r="N20" s="31">
        <v>1</v>
      </c>
      <c r="O20" s="30">
        <v>3.9</v>
      </c>
      <c r="P20" s="30">
        <v>3.375</v>
      </c>
      <c r="Q20" s="30">
        <v>0.2</v>
      </c>
      <c r="R20" s="30">
        <v>168.75</v>
      </c>
      <c r="S20" s="30">
        <v>0.98</v>
      </c>
    </row>
    <row r="21" spans="1:19">
      <c r="A21" s="26" t="s">
        <v>57</v>
      </c>
      <c r="B21" s="26" t="s">
        <v>20</v>
      </c>
      <c r="C21" s="26">
        <v>201620</v>
      </c>
      <c r="D21" s="26">
        <v>20603</v>
      </c>
      <c r="E21" s="26" t="s">
        <v>111</v>
      </c>
      <c r="F21" s="26" t="s">
        <v>147</v>
      </c>
      <c r="G21" s="26" t="s">
        <v>148</v>
      </c>
      <c r="H21" s="26" t="s">
        <v>167</v>
      </c>
      <c r="I21" s="26" t="s">
        <v>168</v>
      </c>
      <c r="J21" s="26">
        <v>17</v>
      </c>
      <c r="K21" s="26">
        <v>26</v>
      </c>
      <c r="L21" s="26">
        <v>32</v>
      </c>
      <c r="M21" s="32">
        <v>0.53125</v>
      </c>
      <c r="N21" s="32">
        <v>0.8125</v>
      </c>
      <c r="O21" s="26">
        <v>1.78</v>
      </c>
      <c r="P21" s="26">
        <v>3.375</v>
      </c>
      <c r="Q21" s="26">
        <v>0.2</v>
      </c>
      <c r="R21" s="26">
        <v>540</v>
      </c>
      <c r="S21" s="26">
        <v>3.08</v>
      </c>
    </row>
    <row r="22" spans="1:19">
      <c r="A22" s="30" t="s">
        <v>57</v>
      </c>
      <c r="B22" s="30" t="s">
        <v>20</v>
      </c>
      <c r="C22" s="30">
        <v>201620</v>
      </c>
      <c r="D22" s="30">
        <v>20604</v>
      </c>
      <c r="E22" s="30" t="s">
        <v>111</v>
      </c>
      <c r="F22" s="30" t="s">
        <v>147</v>
      </c>
      <c r="G22" s="30" t="s">
        <v>148</v>
      </c>
      <c r="H22" s="30" t="s">
        <v>167</v>
      </c>
      <c r="I22" s="30" t="s">
        <v>169</v>
      </c>
      <c r="J22" s="30">
        <v>16</v>
      </c>
      <c r="K22" s="30">
        <v>27</v>
      </c>
      <c r="L22" s="30">
        <v>37</v>
      </c>
      <c r="M22" s="31">
        <v>0.43243</v>
      </c>
      <c r="N22" s="31">
        <v>0.72973</v>
      </c>
      <c r="O22" s="30">
        <v>1.51</v>
      </c>
      <c r="P22" s="30">
        <v>3.375</v>
      </c>
      <c r="Q22" s="30">
        <v>0.2</v>
      </c>
      <c r="R22" s="30">
        <v>624.38</v>
      </c>
      <c r="S22" s="30">
        <v>3.56</v>
      </c>
    </row>
    <row r="23" spans="1:19">
      <c r="A23" s="26" t="s">
        <v>57</v>
      </c>
      <c r="B23" s="26" t="s">
        <v>20</v>
      </c>
      <c r="C23" s="26">
        <v>201620</v>
      </c>
      <c r="D23" s="26">
        <v>20605</v>
      </c>
      <c r="E23" s="26" t="s">
        <v>111</v>
      </c>
      <c r="F23" s="26" t="s">
        <v>147</v>
      </c>
      <c r="G23" s="26" t="s">
        <v>148</v>
      </c>
      <c r="H23" s="26" t="s">
        <v>167</v>
      </c>
      <c r="I23" s="26" t="s">
        <v>170</v>
      </c>
      <c r="J23" s="26">
        <v>74</v>
      </c>
      <c r="K23" s="26">
        <v>103</v>
      </c>
      <c r="L23" s="26">
        <v>122</v>
      </c>
      <c r="M23" s="32">
        <v>0.60656</v>
      </c>
      <c r="N23" s="32">
        <v>0.84426</v>
      </c>
      <c r="O23" s="26">
        <v>1.84</v>
      </c>
      <c r="P23" s="26">
        <v>3.375</v>
      </c>
      <c r="Q23" s="26">
        <v>0.6</v>
      </c>
      <c r="R23" s="26">
        <v>686.25</v>
      </c>
      <c r="S23" s="26">
        <v>11.75</v>
      </c>
    </row>
    <row r="24" spans="1:19">
      <c r="A24" s="30" t="s">
        <v>57</v>
      </c>
      <c r="B24" s="30" t="s">
        <v>20</v>
      </c>
      <c r="C24" s="30">
        <v>201620</v>
      </c>
      <c r="D24" s="30">
        <v>20606</v>
      </c>
      <c r="E24" s="30" t="s">
        <v>111</v>
      </c>
      <c r="F24" s="30" t="s">
        <v>147</v>
      </c>
      <c r="G24" s="30" t="s">
        <v>148</v>
      </c>
      <c r="H24" s="30" t="s">
        <v>167</v>
      </c>
      <c r="I24" s="30" t="s">
        <v>169</v>
      </c>
      <c r="J24" s="30">
        <v>21</v>
      </c>
      <c r="K24" s="30">
        <v>25</v>
      </c>
      <c r="L24" s="30">
        <v>39</v>
      </c>
      <c r="M24" s="31">
        <v>0.53846</v>
      </c>
      <c r="N24" s="31">
        <v>0.64103</v>
      </c>
      <c r="O24" s="30">
        <v>1.62</v>
      </c>
      <c r="P24" s="30">
        <v>3.375</v>
      </c>
      <c r="Q24" s="30">
        <v>0.2</v>
      </c>
      <c r="R24" s="30">
        <v>658.13</v>
      </c>
      <c r="S24" s="30">
        <v>3.76</v>
      </c>
    </row>
    <row r="25" spans="1:19">
      <c r="A25" s="26" t="s">
        <v>57</v>
      </c>
      <c r="B25" s="26" t="s">
        <v>20</v>
      </c>
      <c r="C25" s="26">
        <v>201620</v>
      </c>
      <c r="D25" s="26">
        <v>20607</v>
      </c>
      <c r="E25" s="26" t="s">
        <v>111</v>
      </c>
      <c r="F25" s="26" t="s">
        <v>147</v>
      </c>
      <c r="G25" s="26" t="s">
        <v>148</v>
      </c>
      <c r="H25" s="26" t="s">
        <v>167</v>
      </c>
      <c r="I25" s="26" t="s">
        <v>171</v>
      </c>
      <c r="J25" s="26">
        <v>22</v>
      </c>
      <c r="K25" s="26">
        <v>25</v>
      </c>
      <c r="L25" s="26">
        <v>30</v>
      </c>
      <c r="M25" s="32">
        <v>0.73333</v>
      </c>
      <c r="N25" s="32">
        <v>0.83333</v>
      </c>
      <c r="O25" s="26">
        <v>2.47</v>
      </c>
      <c r="P25" s="26">
        <v>3.375</v>
      </c>
      <c r="Q25" s="26">
        <v>0.2</v>
      </c>
      <c r="R25" s="26">
        <v>506.25</v>
      </c>
      <c r="S25" s="26">
        <v>2.89</v>
      </c>
    </row>
    <row r="26" spans="1:19">
      <c r="A26" s="30" t="s">
        <v>57</v>
      </c>
      <c r="B26" s="30" t="s">
        <v>20</v>
      </c>
      <c r="C26" s="30">
        <v>201620</v>
      </c>
      <c r="D26" s="30">
        <v>20609</v>
      </c>
      <c r="E26" s="30" t="s">
        <v>111</v>
      </c>
      <c r="F26" s="30" t="s">
        <v>147</v>
      </c>
      <c r="G26" s="30" t="s">
        <v>148</v>
      </c>
      <c r="H26" s="30" t="s">
        <v>167</v>
      </c>
      <c r="I26" s="30" t="s">
        <v>173</v>
      </c>
      <c r="J26" s="30">
        <v>21</v>
      </c>
      <c r="K26" s="30">
        <v>34</v>
      </c>
      <c r="L26" s="30">
        <v>38</v>
      </c>
      <c r="M26" s="31">
        <v>0.55263</v>
      </c>
      <c r="N26" s="31">
        <v>0.89474</v>
      </c>
      <c r="O26" s="30">
        <v>2</v>
      </c>
      <c r="P26" s="30">
        <v>3.375</v>
      </c>
      <c r="Q26" s="30">
        <v>0.2</v>
      </c>
      <c r="R26" s="30">
        <v>641.25</v>
      </c>
      <c r="S26" s="30">
        <v>3.66</v>
      </c>
    </row>
    <row r="27" spans="1:19">
      <c r="A27" s="26" t="s">
        <v>57</v>
      </c>
      <c r="B27" s="26" t="s">
        <v>20</v>
      </c>
      <c r="C27" s="26">
        <v>201620</v>
      </c>
      <c r="D27" s="26">
        <v>20611</v>
      </c>
      <c r="E27" s="26" t="s">
        <v>111</v>
      </c>
      <c r="F27" s="26" t="s">
        <v>147</v>
      </c>
      <c r="G27" s="26" t="s">
        <v>149</v>
      </c>
      <c r="H27" s="26" t="s">
        <v>167</v>
      </c>
      <c r="I27" s="26" t="s">
        <v>174</v>
      </c>
      <c r="J27" s="26">
        <v>19</v>
      </c>
      <c r="K27" s="26">
        <v>21</v>
      </c>
      <c r="L27" s="26">
        <v>28</v>
      </c>
      <c r="M27" s="32">
        <v>0.67857</v>
      </c>
      <c r="N27" s="32">
        <v>0.75</v>
      </c>
      <c r="O27" s="26">
        <v>1.79</v>
      </c>
      <c r="P27" s="26">
        <v>3.375</v>
      </c>
      <c r="Q27" s="26">
        <v>0.2</v>
      </c>
      <c r="R27" s="26">
        <v>472.5</v>
      </c>
      <c r="S27" s="26">
        <v>2.7</v>
      </c>
    </row>
    <row r="28" spans="1:19">
      <c r="A28" s="30" t="s">
        <v>57</v>
      </c>
      <c r="B28" s="30" t="s">
        <v>20</v>
      </c>
      <c r="C28" s="30">
        <v>201620</v>
      </c>
      <c r="D28" s="30">
        <v>20612</v>
      </c>
      <c r="E28" s="30" t="s">
        <v>111</v>
      </c>
      <c r="F28" s="30" t="s">
        <v>147</v>
      </c>
      <c r="G28" s="30" t="s">
        <v>149</v>
      </c>
      <c r="H28" s="30" t="s">
        <v>167</v>
      </c>
      <c r="I28" s="30" t="s">
        <v>175</v>
      </c>
      <c r="J28" s="30">
        <v>22</v>
      </c>
      <c r="K28" s="30">
        <v>28</v>
      </c>
      <c r="L28" s="30">
        <v>33</v>
      </c>
      <c r="M28" s="31">
        <v>0.66667</v>
      </c>
      <c r="N28" s="31">
        <v>0.84848</v>
      </c>
      <c r="O28" s="30">
        <v>2.36</v>
      </c>
      <c r="P28" s="30">
        <v>3.375</v>
      </c>
      <c r="Q28" s="30">
        <v>0.2</v>
      </c>
      <c r="R28" s="30">
        <v>556.88</v>
      </c>
      <c r="S28" s="30">
        <v>3.18</v>
      </c>
    </row>
    <row r="29" spans="1:19">
      <c r="A29" s="26" t="s">
        <v>57</v>
      </c>
      <c r="B29" s="26" t="s">
        <v>20</v>
      </c>
      <c r="C29" s="26">
        <v>201620</v>
      </c>
      <c r="D29" s="26">
        <v>20613</v>
      </c>
      <c r="E29" s="26" t="s">
        <v>111</v>
      </c>
      <c r="F29" s="26" t="s">
        <v>147</v>
      </c>
      <c r="G29" s="26" t="s">
        <v>149</v>
      </c>
      <c r="H29" s="26" t="s">
        <v>167</v>
      </c>
      <c r="I29" s="26" t="s">
        <v>172</v>
      </c>
      <c r="J29" s="26">
        <v>30</v>
      </c>
      <c r="K29" s="26">
        <v>33</v>
      </c>
      <c r="L29" s="26">
        <v>38</v>
      </c>
      <c r="M29" s="32">
        <v>0.78947</v>
      </c>
      <c r="N29" s="32">
        <v>0.86842</v>
      </c>
      <c r="O29" s="26">
        <v>2.89</v>
      </c>
      <c r="P29" s="26">
        <v>3.375</v>
      </c>
      <c r="Q29" s="26">
        <v>0.2</v>
      </c>
      <c r="R29" s="26">
        <v>641.25</v>
      </c>
      <c r="S29" s="26">
        <v>3.66</v>
      </c>
    </row>
    <row r="30" spans="1:19">
      <c r="A30" s="30" t="s">
        <v>57</v>
      </c>
      <c r="B30" s="30" t="s">
        <v>21</v>
      </c>
      <c r="C30" s="30">
        <v>201630</v>
      </c>
      <c r="D30" s="30">
        <v>30062</v>
      </c>
      <c r="E30" s="30" t="s">
        <v>111</v>
      </c>
      <c r="F30" s="30" t="s">
        <v>147</v>
      </c>
      <c r="G30" s="30" t="s">
        <v>149</v>
      </c>
      <c r="H30" s="30" t="s">
        <v>167</v>
      </c>
      <c r="I30" s="30" t="s">
        <v>178</v>
      </c>
      <c r="J30" s="30">
        <v>21</v>
      </c>
      <c r="K30" s="30">
        <v>25</v>
      </c>
      <c r="L30" s="30">
        <v>26</v>
      </c>
      <c r="M30" s="31">
        <v>0.80769</v>
      </c>
      <c r="N30" s="31">
        <v>0.96154</v>
      </c>
      <c r="O30" s="30">
        <v>2.31</v>
      </c>
      <c r="P30" s="30">
        <v>3.375</v>
      </c>
      <c r="Q30" s="30">
        <v>0.2</v>
      </c>
      <c r="R30" s="30">
        <v>438.75</v>
      </c>
      <c r="S30" s="30">
        <v>2.54</v>
      </c>
    </row>
    <row r="31" spans="1:19">
      <c r="A31" s="26" t="s">
        <v>57</v>
      </c>
      <c r="B31" s="26" t="s">
        <v>21</v>
      </c>
      <c r="C31" s="26">
        <v>201630</v>
      </c>
      <c r="D31" s="26">
        <v>30063</v>
      </c>
      <c r="E31" s="26" t="s">
        <v>111</v>
      </c>
      <c r="F31" s="26" t="s">
        <v>147</v>
      </c>
      <c r="G31" s="26" t="s">
        <v>148</v>
      </c>
      <c r="H31" s="26" t="s">
        <v>167</v>
      </c>
      <c r="I31" s="26" t="s">
        <v>178</v>
      </c>
      <c r="J31" s="26">
        <v>25</v>
      </c>
      <c r="K31" s="26">
        <v>27</v>
      </c>
      <c r="L31" s="26">
        <v>28</v>
      </c>
      <c r="M31" s="32">
        <v>0.89286</v>
      </c>
      <c r="N31" s="32">
        <v>0.96429</v>
      </c>
      <c r="O31" s="26">
        <v>2.64</v>
      </c>
      <c r="P31" s="26">
        <v>3.375</v>
      </c>
      <c r="Q31" s="26">
        <v>0.2</v>
      </c>
      <c r="R31" s="26">
        <v>472.5</v>
      </c>
      <c r="S31" s="26">
        <v>2.74</v>
      </c>
    </row>
    <row r="32" spans="1:19">
      <c r="A32" s="30" t="s">
        <v>57</v>
      </c>
      <c r="B32" s="30" t="s">
        <v>21</v>
      </c>
      <c r="C32" s="30">
        <v>201630</v>
      </c>
      <c r="D32" s="30">
        <v>30064</v>
      </c>
      <c r="E32" s="30" t="s">
        <v>111</v>
      </c>
      <c r="F32" s="30" t="s">
        <v>147</v>
      </c>
      <c r="G32" s="30" t="s">
        <v>149</v>
      </c>
      <c r="H32" s="30" t="s">
        <v>167</v>
      </c>
      <c r="I32" s="30" t="s">
        <v>180</v>
      </c>
      <c r="J32" s="30">
        <v>11</v>
      </c>
      <c r="K32" s="30">
        <v>11</v>
      </c>
      <c r="L32" s="30">
        <v>12</v>
      </c>
      <c r="M32" s="31">
        <v>0.91667</v>
      </c>
      <c r="N32" s="31">
        <v>0.91667</v>
      </c>
      <c r="O32" s="30">
        <v>2.92</v>
      </c>
      <c r="P32" s="30">
        <v>3.375</v>
      </c>
      <c r="Q32" s="30">
        <v>0.2</v>
      </c>
      <c r="R32" s="30">
        <v>202.5</v>
      </c>
      <c r="S32" s="30">
        <v>1.17</v>
      </c>
    </row>
    <row r="33" spans="1:19">
      <c r="A33" s="26" t="s">
        <v>57</v>
      </c>
      <c r="B33" s="26" t="s">
        <v>21</v>
      </c>
      <c r="C33" s="26">
        <v>201630</v>
      </c>
      <c r="D33" s="26">
        <v>30181</v>
      </c>
      <c r="E33" s="26" t="s">
        <v>111</v>
      </c>
      <c r="F33" s="26" t="s">
        <v>147</v>
      </c>
      <c r="G33" s="26" t="s">
        <v>148</v>
      </c>
      <c r="H33" s="26" t="s">
        <v>181</v>
      </c>
      <c r="I33" s="26" t="s">
        <v>169</v>
      </c>
      <c r="J33" s="26">
        <v>14</v>
      </c>
      <c r="K33" s="26">
        <v>14</v>
      </c>
      <c r="L33" s="26">
        <v>16</v>
      </c>
      <c r="M33" s="32">
        <v>0.875</v>
      </c>
      <c r="N33" s="32">
        <v>0.875</v>
      </c>
      <c r="O33" s="26">
        <v>3.25</v>
      </c>
      <c r="P33" s="26">
        <v>3.375</v>
      </c>
      <c r="Q33" s="26">
        <v>0.2</v>
      </c>
      <c r="R33" s="26">
        <v>270</v>
      </c>
      <c r="S33" s="26">
        <v>1.53</v>
      </c>
    </row>
    <row r="34" spans="1:19">
      <c r="A34" s="30" t="s">
        <v>57</v>
      </c>
      <c r="B34" s="30" t="s">
        <v>21</v>
      </c>
      <c r="C34" s="30">
        <v>201630</v>
      </c>
      <c r="D34" s="30">
        <v>30183</v>
      </c>
      <c r="E34" s="30" t="s">
        <v>111</v>
      </c>
      <c r="F34" s="30" t="s">
        <v>147</v>
      </c>
      <c r="G34" s="30" t="s">
        <v>150</v>
      </c>
      <c r="H34" s="30" t="s">
        <v>167</v>
      </c>
      <c r="I34" s="30" t="s">
        <v>173</v>
      </c>
      <c r="J34" s="30">
        <v>19</v>
      </c>
      <c r="K34" s="30">
        <v>28</v>
      </c>
      <c r="L34" s="30">
        <v>30</v>
      </c>
      <c r="M34" s="31">
        <v>0.63333</v>
      </c>
      <c r="N34" s="31">
        <v>0.93333</v>
      </c>
      <c r="O34" s="30">
        <v>2.47</v>
      </c>
      <c r="P34" s="30">
        <v>3.375</v>
      </c>
      <c r="Q34" s="30">
        <v>0.2</v>
      </c>
      <c r="R34" s="30">
        <v>506.25</v>
      </c>
      <c r="S34" s="30">
        <v>2.55</v>
      </c>
    </row>
    <row r="35" spans="1:19">
      <c r="A35" s="26" t="s">
        <v>58</v>
      </c>
      <c r="B35" s="26" t="s">
        <v>22</v>
      </c>
      <c r="C35" s="26">
        <v>201710</v>
      </c>
      <c r="D35" s="26">
        <v>10607</v>
      </c>
      <c r="E35" s="26" t="s">
        <v>111</v>
      </c>
      <c r="F35" s="26" t="s">
        <v>147</v>
      </c>
      <c r="G35" s="26" t="s">
        <v>148</v>
      </c>
      <c r="H35" s="26" t="s">
        <v>167</v>
      </c>
      <c r="I35" s="26" t="s">
        <v>172</v>
      </c>
      <c r="J35" s="26">
        <v>37</v>
      </c>
      <c r="K35" s="26">
        <v>39</v>
      </c>
      <c r="L35" s="26">
        <v>41</v>
      </c>
      <c r="M35" s="32">
        <v>0.90244</v>
      </c>
      <c r="N35" s="32">
        <v>0.95122</v>
      </c>
      <c r="O35" s="26">
        <v>3</v>
      </c>
      <c r="P35" s="26">
        <v>3.375</v>
      </c>
      <c r="Q35" s="26">
        <v>0.2</v>
      </c>
      <c r="R35" s="26">
        <v>691.88</v>
      </c>
      <c r="S35" s="26">
        <v>3.95</v>
      </c>
    </row>
    <row r="36" spans="1:19">
      <c r="A36" s="30" t="s">
        <v>58</v>
      </c>
      <c r="B36" s="30" t="s">
        <v>22</v>
      </c>
      <c r="C36" s="30">
        <v>201710</v>
      </c>
      <c r="D36" s="30">
        <v>10608</v>
      </c>
      <c r="E36" s="30" t="s">
        <v>111</v>
      </c>
      <c r="F36" s="30" t="s">
        <v>147</v>
      </c>
      <c r="G36" s="30" t="s">
        <v>148</v>
      </c>
      <c r="H36" s="30" t="s">
        <v>167</v>
      </c>
      <c r="I36" s="30" t="s">
        <v>169</v>
      </c>
      <c r="J36" s="30">
        <v>30</v>
      </c>
      <c r="K36" s="30">
        <v>35</v>
      </c>
      <c r="L36" s="30">
        <v>42</v>
      </c>
      <c r="M36" s="31">
        <v>0.71429</v>
      </c>
      <c r="N36" s="31">
        <v>0.83333</v>
      </c>
      <c r="O36" s="30">
        <v>2.19</v>
      </c>
      <c r="P36" s="30">
        <v>3.375</v>
      </c>
      <c r="Q36" s="30">
        <v>0.2</v>
      </c>
      <c r="R36" s="30">
        <v>708.75</v>
      </c>
      <c r="S36" s="30">
        <v>4.04</v>
      </c>
    </row>
    <row r="37" spans="1:19">
      <c r="A37" s="26" t="s">
        <v>58</v>
      </c>
      <c r="B37" s="26" t="s">
        <v>22</v>
      </c>
      <c r="C37" s="26">
        <v>201710</v>
      </c>
      <c r="D37" s="26">
        <v>10609</v>
      </c>
      <c r="E37" s="26" t="s">
        <v>111</v>
      </c>
      <c r="F37" s="26" t="s">
        <v>147</v>
      </c>
      <c r="G37" s="26" t="s">
        <v>148</v>
      </c>
      <c r="H37" s="26" t="s">
        <v>167</v>
      </c>
      <c r="I37" s="26" t="s">
        <v>170</v>
      </c>
      <c r="J37" s="26">
        <v>66</v>
      </c>
      <c r="K37" s="26">
        <v>87</v>
      </c>
      <c r="L37" s="26">
        <v>89</v>
      </c>
      <c r="M37" s="32">
        <v>0.74157</v>
      </c>
      <c r="N37" s="32">
        <v>0.97753</v>
      </c>
      <c r="O37" s="26">
        <v>2.29</v>
      </c>
      <c r="P37" s="26">
        <v>3.375</v>
      </c>
      <c r="Q37" s="26">
        <v>0.4</v>
      </c>
      <c r="R37" s="26">
        <v>750.94</v>
      </c>
      <c r="S37" s="26">
        <v>8.57</v>
      </c>
    </row>
    <row r="38" spans="1:19">
      <c r="A38" s="30" t="s">
        <v>58</v>
      </c>
      <c r="B38" s="30" t="s">
        <v>22</v>
      </c>
      <c r="C38" s="30">
        <v>201710</v>
      </c>
      <c r="D38" s="30">
        <v>10610</v>
      </c>
      <c r="E38" s="30" t="s">
        <v>111</v>
      </c>
      <c r="F38" s="30" t="s">
        <v>147</v>
      </c>
      <c r="G38" s="30" t="s">
        <v>148</v>
      </c>
      <c r="H38" s="30" t="s">
        <v>167</v>
      </c>
      <c r="I38" s="30" t="s">
        <v>171</v>
      </c>
      <c r="J38" s="30">
        <v>29</v>
      </c>
      <c r="K38" s="30">
        <v>48</v>
      </c>
      <c r="L38" s="30">
        <v>48</v>
      </c>
      <c r="M38" s="31">
        <v>0.60417</v>
      </c>
      <c r="N38" s="31">
        <v>1</v>
      </c>
      <c r="O38" s="30">
        <v>2.04</v>
      </c>
      <c r="P38" s="30">
        <v>3.375</v>
      </c>
      <c r="Q38" s="30">
        <v>0.2</v>
      </c>
      <c r="R38" s="30">
        <v>810</v>
      </c>
      <c r="S38" s="30">
        <v>4.62</v>
      </c>
    </row>
    <row r="39" spans="1:19">
      <c r="A39" s="26" t="s">
        <v>58</v>
      </c>
      <c r="B39" s="26" t="s">
        <v>22</v>
      </c>
      <c r="C39" s="26">
        <v>201710</v>
      </c>
      <c r="D39" s="26">
        <v>10611</v>
      </c>
      <c r="E39" s="26" t="s">
        <v>111</v>
      </c>
      <c r="F39" s="26" t="s">
        <v>147</v>
      </c>
      <c r="G39" s="26" t="s">
        <v>148</v>
      </c>
      <c r="H39" s="26" t="s">
        <v>167</v>
      </c>
      <c r="I39" s="26" t="s">
        <v>171</v>
      </c>
      <c r="J39" s="26">
        <v>49</v>
      </c>
      <c r="K39" s="26">
        <v>50</v>
      </c>
      <c r="L39" s="26">
        <v>50</v>
      </c>
      <c r="M39" s="32">
        <v>0.98</v>
      </c>
      <c r="N39" s="32">
        <v>1</v>
      </c>
      <c r="O39" s="26">
        <v>3.38</v>
      </c>
      <c r="P39" s="26">
        <v>3.375</v>
      </c>
      <c r="Q39" s="26">
        <v>0.2</v>
      </c>
      <c r="R39" s="26">
        <v>843.75</v>
      </c>
      <c r="S39" s="26">
        <v>4.81</v>
      </c>
    </row>
    <row r="40" spans="1:19">
      <c r="A40" s="30" t="s">
        <v>58</v>
      </c>
      <c r="B40" s="30" t="s">
        <v>22</v>
      </c>
      <c r="C40" s="30">
        <v>201710</v>
      </c>
      <c r="D40" s="30">
        <v>10612</v>
      </c>
      <c r="E40" s="30" t="s">
        <v>111</v>
      </c>
      <c r="F40" s="30" t="s">
        <v>147</v>
      </c>
      <c r="G40" s="30" t="s">
        <v>148</v>
      </c>
      <c r="H40" s="30" t="s">
        <v>167</v>
      </c>
      <c r="I40" s="30" t="s">
        <v>182</v>
      </c>
      <c r="J40" s="30">
        <v>19</v>
      </c>
      <c r="K40" s="30">
        <v>37</v>
      </c>
      <c r="L40" s="30">
        <v>40</v>
      </c>
      <c r="M40" s="31">
        <v>0.475</v>
      </c>
      <c r="N40" s="31">
        <v>0.925</v>
      </c>
      <c r="O40" s="30">
        <v>1.38</v>
      </c>
      <c r="P40" s="30">
        <v>3.375</v>
      </c>
      <c r="Q40" s="30">
        <v>0.2</v>
      </c>
      <c r="R40" s="30">
        <v>675</v>
      </c>
      <c r="S40" s="30">
        <v>3.85</v>
      </c>
    </row>
    <row r="41" spans="1:19">
      <c r="A41" s="26" t="s">
        <v>58</v>
      </c>
      <c r="B41" s="26" t="s">
        <v>22</v>
      </c>
      <c r="C41" s="26">
        <v>201710</v>
      </c>
      <c r="D41" s="26">
        <v>10613</v>
      </c>
      <c r="E41" s="26" t="s">
        <v>111</v>
      </c>
      <c r="F41" s="26" t="s">
        <v>147</v>
      </c>
      <c r="G41" s="26" t="s">
        <v>148</v>
      </c>
      <c r="H41" s="26" t="s">
        <v>167</v>
      </c>
      <c r="I41" s="26" t="s">
        <v>183</v>
      </c>
      <c r="J41" s="26">
        <v>24</v>
      </c>
      <c r="K41" s="26">
        <v>30</v>
      </c>
      <c r="L41" s="26">
        <v>37</v>
      </c>
      <c r="M41" s="32">
        <v>0.64865</v>
      </c>
      <c r="N41" s="32">
        <v>0.81081</v>
      </c>
      <c r="O41" s="26">
        <v>1.7</v>
      </c>
      <c r="P41" s="26">
        <v>3.375</v>
      </c>
      <c r="Q41" s="26">
        <v>0.2</v>
      </c>
      <c r="R41" s="26">
        <v>624.38</v>
      </c>
      <c r="S41" s="26">
        <v>3.14</v>
      </c>
    </row>
    <row r="42" spans="1:19">
      <c r="A42" s="30" t="s">
        <v>58</v>
      </c>
      <c r="B42" s="30" t="s">
        <v>22</v>
      </c>
      <c r="C42" s="30">
        <v>201710</v>
      </c>
      <c r="D42" s="30">
        <v>10615</v>
      </c>
      <c r="E42" s="30" t="s">
        <v>111</v>
      </c>
      <c r="F42" s="30" t="s">
        <v>147</v>
      </c>
      <c r="G42" s="30" t="s">
        <v>149</v>
      </c>
      <c r="H42" s="30" t="s">
        <v>167</v>
      </c>
      <c r="I42" s="30" t="s">
        <v>184</v>
      </c>
      <c r="J42" s="30">
        <v>24</v>
      </c>
      <c r="K42" s="30">
        <v>33</v>
      </c>
      <c r="L42" s="30">
        <v>37</v>
      </c>
      <c r="M42" s="31">
        <v>0.64865</v>
      </c>
      <c r="N42" s="31">
        <v>0.89189</v>
      </c>
      <c r="O42" s="30">
        <v>2.05</v>
      </c>
      <c r="P42" s="30">
        <v>3.375</v>
      </c>
      <c r="Q42" s="30">
        <v>0.2</v>
      </c>
      <c r="R42" s="30">
        <v>624.38</v>
      </c>
      <c r="S42" s="30">
        <v>3.56</v>
      </c>
    </row>
    <row r="43" spans="1:19">
      <c r="A43" s="26" t="s">
        <v>58</v>
      </c>
      <c r="B43" s="26" t="s">
        <v>22</v>
      </c>
      <c r="C43" s="26">
        <v>201710</v>
      </c>
      <c r="D43" s="26">
        <v>10616</v>
      </c>
      <c r="E43" s="26" t="s">
        <v>111</v>
      </c>
      <c r="F43" s="26" t="s">
        <v>147</v>
      </c>
      <c r="G43" s="26" t="s">
        <v>149</v>
      </c>
      <c r="H43" s="26" t="s">
        <v>167</v>
      </c>
      <c r="I43" s="26" t="s">
        <v>179</v>
      </c>
      <c r="J43" s="26">
        <v>34</v>
      </c>
      <c r="K43" s="26">
        <v>37</v>
      </c>
      <c r="L43" s="26">
        <v>39</v>
      </c>
      <c r="M43" s="32">
        <v>0.87179</v>
      </c>
      <c r="N43" s="32">
        <v>0.94872</v>
      </c>
      <c r="O43" s="26">
        <v>2.9</v>
      </c>
      <c r="P43" s="26">
        <v>3.375</v>
      </c>
      <c r="Q43" s="26">
        <v>0.2</v>
      </c>
      <c r="R43" s="26">
        <v>658.13</v>
      </c>
      <c r="S43" s="26">
        <v>3.76</v>
      </c>
    </row>
    <row r="44" spans="1:19">
      <c r="A44" s="30" t="s">
        <v>58</v>
      </c>
      <c r="B44" s="30" t="s">
        <v>22</v>
      </c>
      <c r="C44" s="30">
        <v>201710</v>
      </c>
      <c r="D44" s="30">
        <v>10617</v>
      </c>
      <c r="E44" s="30" t="s">
        <v>111</v>
      </c>
      <c r="F44" s="30" t="s">
        <v>147</v>
      </c>
      <c r="G44" s="30" t="s">
        <v>149</v>
      </c>
      <c r="H44" s="30" t="s">
        <v>167</v>
      </c>
      <c r="I44" s="30" t="s">
        <v>174</v>
      </c>
      <c r="J44" s="30">
        <v>12</v>
      </c>
      <c r="K44" s="30">
        <v>12</v>
      </c>
      <c r="L44" s="30">
        <v>18</v>
      </c>
      <c r="M44" s="31">
        <v>0.66667</v>
      </c>
      <c r="N44" s="31">
        <v>0.66667</v>
      </c>
      <c r="O44" s="30">
        <v>1.67</v>
      </c>
      <c r="P44" s="30">
        <v>3.375</v>
      </c>
      <c r="Q44" s="30">
        <v>0.2</v>
      </c>
      <c r="R44" s="30">
        <v>303.75</v>
      </c>
      <c r="S44" s="30">
        <v>1.73</v>
      </c>
    </row>
    <row r="45" spans="1:19">
      <c r="A45" s="26" t="s">
        <v>58</v>
      </c>
      <c r="B45" s="26" t="s">
        <v>22</v>
      </c>
      <c r="C45" s="26">
        <v>201710</v>
      </c>
      <c r="D45" s="26">
        <v>10618</v>
      </c>
      <c r="E45" s="26" t="s">
        <v>111</v>
      </c>
      <c r="F45" s="26" t="s">
        <v>147</v>
      </c>
      <c r="G45" s="26" t="s">
        <v>149</v>
      </c>
      <c r="H45" s="26" t="s">
        <v>167</v>
      </c>
      <c r="I45" s="26" t="s">
        <v>175</v>
      </c>
      <c r="J45" s="26">
        <v>23</v>
      </c>
      <c r="K45" s="26">
        <v>26</v>
      </c>
      <c r="L45" s="26">
        <v>26</v>
      </c>
      <c r="M45" s="32">
        <v>0.88462</v>
      </c>
      <c r="N45" s="32">
        <v>1</v>
      </c>
      <c r="O45" s="26">
        <v>3.23</v>
      </c>
      <c r="P45" s="26">
        <v>3.375</v>
      </c>
      <c r="Q45" s="26">
        <v>0.2</v>
      </c>
      <c r="R45" s="26">
        <v>438.75</v>
      </c>
      <c r="S45" s="26">
        <v>2.5</v>
      </c>
    </row>
    <row r="46" spans="1:19">
      <c r="A46" s="30" t="s">
        <v>58</v>
      </c>
      <c r="B46" s="30" t="s">
        <v>22</v>
      </c>
      <c r="C46" s="30">
        <v>201710</v>
      </c>
      <c r="D46" s="30">
        <v>11036</v>
      </c>
      <c r="E46" s="30" t="s">
        <v>111</v>
      </c>
      <c r="F46" s="30" t="s">
        <v>147</v>
      </c>
      <c r="G46" s="30" t="s">
        <v>150</v>
      </c>
      <c r="H46" s="30" t="s">
        <v>167</v>
      </c>
      <c r="I46" s="30" t="s">
        <v>173</v>
      </c>
      <c r="J46" s="30">
        <v>25</v>
      </c>
      <c r="K46" s="30">
        <v>33</v>
      </c>
      <c r="L46" s="30">
        <v>38</v>
      </c>
      <c r="M46" s="31">
        <v>0.65789</v>
      </c>
      <c r="N46" s="31">
        <v>0.86842</v>
      </c>
      <c r="O46" s="30">
        <v>2.16</v>
      </c>
      <c r="P46" s="30">
        <v>3.375</v>
      </c>
      <c r="Q46" s="30">
        <v>0.2</v>
      </c>
      <c r="R46" s="30">
        <v>641.25</v>
      </c>
      <c r="S46" s="30">
        <v>3.23</v>
      </c>
    </row>
    <row r="47" spans="1:19">
      <c r="A47" s="26" t="s">
        <v>58</v>
      </c>
      <c r="B47" s="26" t="s">
        <v>23</v>
      </c>
      <c r="C47" s="26">
        <v>201715</v>
      </c>
      <c r="D47" s="26">
        <v>15088</v>
      </c>
      <c r="E47" s="26" t="s">
        <v>111</v>
      </c>
      <c r="F47" s="26" t="s">
        <v>147</v>
      </c>
      <c r="G47" s="26" t="s">
        <v>148</v>
      </c>
      <c r="H47" s="26" t="s">
        <v>167</v>
      </c>
      <c r="I47" s="26" t="s">
        <v>182</v>
      </c>
      <c r="J47" s="26">
        <v>27</v>
      </c>
      <c r="K47" s="26">
        <v>32</v>
      </c>
      <c r="L47" s="26">
        <v>34</v>
      </c>
      <c r="M47" s="32">
        <v>0.79412</v>
      </c>
      <c r="N47" s="32">
        <v>0.94118</v>
      </c>
      <c r="O47" s="26">
        <v>2.35</v>
      </c>
      <c r="P47" s="26">
        <v>3.375</v>
      </c>
      <c r="Q47" s="26">
        <v>0.2</v>
      </c>
      <c r="R47" s="26">
        <v>573.75</v>
      </c>
      <c r="S47" s="26">
        <v>3.32</v>
      </c>
    </row>
    <row r="48" spans="1:19">
      <c r="A48" s="30" t="s">
        <v>58</v>
      </c>
      <c r="B48" s="30" t="s">
        <v>23</v>
      </c>
      <c r="C48" s="30">
        <v>201715</v>
      </c>
      <c r="D48" s="30">
        <v>15089</v>
      </c>
      <c r="E48" s="30" t="s">
        <v>111</v>
      </c>
      <c r="F48" s="30" t="s">
        <v>147</v>
      </c>
      <c r="G48" s="30" t="s">
        <v>148</v>
      </c>
      <c r="H48" s="30" t="s">
        <v>167</v>
      </c>
      <c r="I48" s="30" t="s">
        <v>178</v>
      </c>
      <c r="J48" s="30">
        <v>29</v>
      </c>
      <c r="K48" s="30">
        <v>32</v>
      </c>
      <c r="L48" s="30">
        <v>35</v>
      </c>
      <c r="M48" s="31">
        <v>0.82857</v>
      </c>
      <c r="N48" s="31">
        <v>0.91429</v>
      </c>
      <c r="O48" s="30">
        <v>2.26</v>
      </c>
      <c r="P48" s="30">
        <v>3.375</v>
      </c>
      <c r="Q48" s="30">
        <v>0.2</v>
      </c>
      <c r="R48" s="30">
        <v>590.63</v>
      </c>
      <c r="S48" s="30">
        <v>3.42</v>
      </c>
    </row>
    <row r="49" spans="1:19">
      <c r="A49" s="26" t="s">
        <v>58</v>
      </c>
      <c r="B49" s="26" t="s">
        <v>23</v>
      </c>
      <c r="C49" s="26">
        <v>201715</v>
      </c>
      <c r="D49" s="26">
        <v>15090</v>
      </c>
      <c r="E49" s="26" t="s">
        <v>111</v>
      </c>
      <c r="F49" s="26" t="s">
        <v>147</v>
      </c>
      <c r="G49" s="26" t="s">
        <v>149</v>
      </c>
      <c r="H49" s="26" t="s">
        <v>167</v>
      </c>
      <c r="I49" s="26" t="s">
        <v>179</v>
      </c>
      <c r="J49" s="26">
        <v>25</v>
      </c>
      <c r="K49" s="26">
        <v>25</v>
      </c>
      <c r="L49" s="26">
        <v>25</v>
      </c>
      <c r="M49" s="32">
        <v>1</v>
      </c>
      <c r="N49" s="32">
        <v>1</v>
      </c>
      <c r="O49" s="26">
        <v>3.84</v>
      </c>
      <c r="P49" s="26">
        <v>3.375</v>
      </c>
      <c r="Q49" s="26">
        <v>0.2</v>
      </c>
      <c r="R49" s="26">
        <v>421.88</v>
      </c>
      <c r="S49" s="26">
        <v>2.44</v>
      </c>
    </row>
    <row r="50" spans="1:19">
      <c r="A50" s="30" t="s">
        <v>58</v>
      </c>
      <c r="B50" s="30" t="s">
        <v>23</v>
      </c>
      <c r="C50" s="30">
        <v>201715</v>
      </c>
      <c r="D50" s="30">
        <v>15170</v>
      </c>
      <c r="E50" s="30" t="s">
        <v>111</v>
      </c>
      <c r="F50" s="30" t="s">
        <v>147</v>
      </c>
      <c r="G50" s="30" t="s">
        <v>150</v>
      </c>
      <c r="H50" s="30" t="s">
        <v>167</v>
      </c>
      <c r="I50" s="30" t="s">
        <v>173</v>
      </c>
      <c r="J50" s="30">
        <v>25</v>
      </c>
      <c r="K50" s="30">
        <v>25</v>
      </c>
      <c r="L50" s="30">
        <v>31</v>
      </c>
      <c r="M50" s="31">
        <v>0.80645</v>
      </c>
      <c r="N50" s="31">
        <v>0.80645</v>
      </c>
      <c r="O50" s="30">
        <v>3.16</v>
      </c>
      <c r="P50" s="30">
        <v>3.375</v>
      </c>
      <c r="Q50" s="30">
        <v>0.2</v>
      </c>
      <c r="R50" s="30">
        <v>523.13</v>
      </c>
      <c r="S50" s="30">
        <v>2.63</v>
      </c>
    </row>
    <row r="51" spans="1:19">
      <c r="A51" s="26" t="s">
        <v>58</v>
      </c>
      <c r="B51" s="26" t="s">
        <v>24</v>
      </c>
      <c r="C51" s="26">
        <v>201720</v>
      </c>
      <c r="D51" s="26">
        <v>20604</v>
      </c>
      <c r="E51" s="26" t="s">
        <v>111</v>
      </c>
      <c r="F51" s="26" t="s">
        <v>147</v>
      </c>
      <c r="G51" s="26" t="s">
        <v>148</v>
      </c>
      <c r="H51" s="26" t="s">
        <v>167</v>
      </c>
      <c r="I51" s="26" t="s">
        <v>182</v>
      </c>
      <c r="J51" s="26">
        <v>15</v>
      </c>
      <c r="K51" s="26">
        <v>35</v>
      </c>
      <c r="L51" s="26">
        <v>42</v>
      </c>
      <c r="M51" s="32">
        <v>0.35714</v>
      </c>
      <c r="N51" s="32">
        <v>0.83333</v>
      </c>
      <c r="O51" s="26">
        <v>1.14</v>
      </c>
      <c r="P51" s="26">
        <v>3.375</v>
      </c>
      <c r="Q51" s="26">
        <v>0.2</v>
      </c>
      <c r="R51" s="26">
        <v>708.75</v>
      </c>
      <c r="S51" s="26">
        <v>4.04</v>
      </c>
    </row>
    <row r="52" spans="1:19">
      <c r="A52" s="30" t="s">
        <v>58</v>
      </c>
      <c r="B52" s="30" t="s">
        <v>24</v>
      </c>
      <c r="C52" s="30">
        <v>201720</v>
      </c>
      <c r="D52" s="30">
        <v>20605</v>
      </c>
      <c r="E52" s="30" t="s">
        <v>111</v>
      </c>
      <c r="F52" s="30" t="s">
        <v>147</v>
      </c>
      <c r="G52" s="30" t="s">
        <v>148</v>
      </c>
      <c r="H52" s="30" t="s">
        <v>167</v>
      </c>
      <c r="I52" s="30" t="s">
        <v>170</v>
      </c>
      <c r="J52" s="30">
        <v>55</v>
      </c>
      <c r="K52" s="30">
        <v>79</v>
      </c>
      <c r="L52" s="30">
        <v>84</v>
      </c>
      <c r="M52" s="31">
        <v>0.65476</v>
      </c>
      <c r="N52" s="31">
        <v>0.94048</v>
      </c>
      <c r="O52" s="30">
        <v>2.02</v>
      </c>
      <c r="P52" s="30">
        <v>3.375</v>
      </c>
      <c r="Q52" s="30">
        <v>0.4</v>
      </c>
      <c r="R52" s="30">
        <v>708.75</v>
      </c>
      <c r="S52" s="30">
        <v>8.09</v>
      </c>
    </row>
    <row r="53" spans="1:19">
      <c r="A53" s="26" t="s">
        <v>58</v>
      </c>
      <c r="B53" s="26" t="s">
        <v>24</v>
      </c>
      <c r="C53" s="26">
        <v>201720</v>
      </c>
      <c r="D53" s="26">
        <v>20606</v>
      </c>
      <c r="E53" s="26" t="s">
        <v>111</v>
      </c>
      <c r="F53" s="26" t="s">
        <v>147</v>
      </c>
      <c r="G53" s="26" t="s">
        <v>148</v>
      </c>
      <c r="H53" s="26" t="s">
        <v>167</v>
      </c>
      <c r="I53" s="26" t="s">
        <v>171</v>
      </c>
      <c r="J53" s="26">
        <v>34</v>
      </c>
      <c r="K53" s="26">
        <v>42</v>
      </c>
      <c r="L53" s="26">
        <v>43</v>
      </c>
      <c r="M53" s="32">
        <v>0.7907</v>
      </c>
      <c r="N53" s="32">
        <v>0.97674</v>
      </c>
      <c r="O53" s="26">
        <v>3.02</v>
      </c>
      <c r="P53" s="26">
        <v>3.375</v>
      </c>
      <c r="Q53" s="26">
        <v>0.2</v>
      </c>
      <c r="R53" s="26">
        <v>725.63</v>
      </c>
      <c r="S53" s="26">
        <v>4.14</v>
      </c>
    </row>
    <row r="54" spans="1:19">
      <c r="A54" s="30" t="s">
        <v>58</v>
      </c>
      <c r="B54" s="30" t="s">
        <v>24</v>
      </c>
      <c r="C54" s="30">
        <v>201720</v>
      </c>
      <c r="D54" s="30">
        <v>20610</v>
      </c>
      <c r="E54" s="30" t="s">
        <v>111</v>
      </c>
      <c r="F54" s="30" t="s">
        <v>147</v>
      </c>
      <c r="G54" s="30" t="s">
        <v>149</v>
      </c>
      <c r="H54" s="30" t="s">
        <v>167</v>
      </c>
      <c r="I54" s="30" t="s">
        <v>183</v>
      </c>
      <c r="J54" s="30">
        <v>12</v>
      </c>
      <c r="K54" s="30">
        <v>22</v>
      </c>
      <c r="L54" s="30">
        <v>27</v>
      </c>
      <c r="M54" s="31">
        <v>0.44444</v>
      </c>
      <c r="N54" s="31">
        <v>0.81481</v>
      </c>
      <c r="O54" s="30">
        <v>1.44</v>
      </c>
      <c r="P54" s="30">
        <v>3.375</v>
      </c>
      <c r="Q54" s="30">
        <v>0.2</v>
      </c>
      <c r="R54" s="30">
        <v>455.63</v>
      </c>
      <c r="S54" s="30">
        <v>2.6</v>
      </c>
    </row>
    <row r="55" spans="1:19">
      <c r="A55" s="26" t="s">
        <v>58</v>
      </c>
      <c r="B55" s="26" t="s">
        <v>24</v>
      </c>
      <c r="C55" s="26">
        <v>201720</v>
      </c>
      <c r="D55" s="26">
        <v>20611</v>
      </c>
      <c r="E55" s="26" t="s">
        <v>111</v>
      </c>
      <c r="F55" s="26" t="s">
        <v>147</v>
      </c>
      <c r="G55" s="26" t="s">
        <v>149</v>
      </c>
      <c r="H55" s="26" t="s">
        <v>167</v>
      </c>
      <c r="I55" s="26" t="s">
        <v>174</v>
      </c>
      <c r="J55" s="26">
        <v>26</v>
      </c>
      <c r="K55" s="26">
        <v>32</v>
      </c>
      <c r="L55" s="26">
        <v>33</v>
      </c>
      <c r="M55" s="32">
        <v>0.78788</v>
      </c>
      <c r="N55" s="32">
        <v>0.9697</v>
      </c>
      <c r="O55" s="26">
        <v>2.24</v>
      </c>
      <c r="P55" s="26">
        <v>3.375</v>
      </c>
      <c r="Q55" s="26">
        <v>0.2</v>
      </c>
      <c r="R55" s="26">
        <v>556.88</v>
      </c>
      <c r="S55" s="26">
        <v>3.18</v>
      </c>
    </row>
    <row r="56" spans="1:19">
      <c r="A56" s="30" t="s">
        <v>58</v>
      </c>
      <c r="B56" s="30" t="s">
        <v>24</v>
      </c>
      <c r="C56" s="30">
        <v>201720</v>
      </c>
      <c r="D56" s="30">
        <v>20612</v>
      </c>
      <c r="E56" s="30" t="s">
        <v>111</v>
      </c>
      <c r="F56" s="30" t="s">
        <v>147</v>
      </c>
      <c r="G56" s="30" t="s">
        <v>149</v>
      </c>
      <c r="H56" s="30" t="s">
        <v>167</v>
      </c>
      <c r="I56" s="30" t="s">
        <v>175</v>
      </c>
      <c r="J56" s="30">
        <v>19</v>
      </c>
      <c r="K56" s="30">
        <v>21</v>
      </c>
      <c r="L56" s="30">
        <v>24</v>
      </c>
      <c r="M56" s="31">
        <v>0.79167</v>
      </c>
      <c r="N56" s="31">
        <v>0.875</v>
      </c>
      <c r="O56" s="30">
        <v>2.83</v>
      </c>
      <c r="P56" s="30">
        <v>3.375</v>
      </c>
      <c r="Q56" s="30">
        <v>0.2</v>
      </c>
      <c r="R56" s="30">
        <v>405</v>
      </c>
      <c r="S56" s="30">
        <v>2.31</v>
      </c>
    </row>
    <row r="57" spans="1:19">
      <c r="A57" s="26" t="s">
        <v>58</v>
      </c>
      <c r="B57" s="26" t="s">
        <v>24</v>
      </c>
      <c r="C57" s="26">
        <v>201720</v>
      </c>
      <c r="D57" s="26">
        <v>20613</v>
      </c>
      <c r="E57" s="26" t="s">
        <v>111</v>
      </c>
      <c r="F57" s="26" t="s">
        <v>147</v>
      </c>
      <c r="G57" s="26" t="s">
        <v>149</v>
      </c>
      <c r="H57" s="26" t="s">
        <v>167</v>
      </c>
      <c r="I57" s="26" t="s">
        <v>185</v>
      </c>
      <c r="J57" s="26">
        <v>15</v>
      </c>
      <c r="K57" s="26">
        <v>17</v>
      </c>
      <c r="L57" s="26">
        <v>18</v>
      </c>
      <c r="M57" s="32">
        <v>0.83333</v>
      </c>
      <c r="N57" s="32">
        <v>0.94444</v>
      </c>
      <c r="O57" s="26">
        <v>3.06</v>
      </c>
      <c r="P57" s="26">
        <v>3.375</v>
      </c>
      <c r="Q57" s="26">
        <v>0.2</v>
      </c>
      <c r="R57" s="26">
        <v>303.75</v>
      </c>
      <c r="S57" s="26">
        <v>1.73</v>
      </c>
    </row>
    <row r="58" spans="1:19">
      <c r="A58" s="30" t="s">
        <v>58</v>
      </c>
      <c r="B58" s="30" t="s">
        <v>24</v>
      </c>
      <c r="C58" s="30">
        <v>201720</v>
      </c>
      <c r="D58" s="30">
        <v>20614</v>
      </c>
      <c r="E58" s="30" t="s">
        <v>111</v>
      </c>
      <c r="F58" s="30" t="s">
        <v>147</v>
      </c>
      <c r="G58" s="30" t="s">
        <v>149</v>
      </c>
      <c r="H58" s="30" t="s">
        <v>167</v>
      </c>
      <c r="I58" s="30" t="s">
        <v>175</v>
      </c>
      <c r="J58" s="30">
        <v>28</v>
      </c>
      <c r="K58" s="30">
        <v>28</v>
      </c>
      <c r="L58" s="30">
        <v>29</v>
      </c>
      <c r="M58" s="31">
        <v>0.96552</v>
      </c>
      <c r="N58" s="31">
        <v>0.96552</v>
      </c>
      <c r="O58" s="30">
        <v>3.48</v>
      </c>
      <c r="P58" s="30">
        <v>3.375</v>
      </c>
      <c r="Q58" s="30">
        <v>0.2</v>
      </c>
      <c r="R58" s="30">
        <v>489.38</v>
      </c>
      <c r="S58" s="30">
        <v>2.79</v>
      </c>
    </row>
    <row r="59" spans="1:19">
      <c r="A59" s="26" t="s">
        <v>58</v>
      </c>
      <c r="B59" s="26" t="s">
        <v>24</v>
      </c>
      <c r="C59" s="26">
        <v>201720</v>
      </c>
      <c r="D59" s="26">
        <v>21159</v>
      </c>
      <c r="E59" s="26" t="s">
        <v>111</v>
      </c>
      <c r="F59" s="26" t="s">
        <v>147</v>
      </c>
      <c r="G59" s="26" t="s">
        <v>150</v>
      </c>
      <c r="H59" s="26" t="s">
        <v>167</v>
      </c>
      <c r="I59" s="26" t="s">
        <v>173</v>
      </c>
      <c r="J59" s="26">
        <v>16</v>
      </c>
      <c r="K59" s="26">
        <v>29</v>
      </c>
      <c r="L59" s="26">
        <v>35</v>
      </c>
      <c r="M59" s="32">
        <v>0.45714</v>
      </c>
      <c r="N59" s="32">
        <v>0.82857</v>
      </c>
      <c r="O59" s="26">
        <v>1.54</v>
      </c>
      <c r="P59" s="26">
        <v>3.375</v>
      </c>
      <c r="Q59" s="26">
        <v>0.2</v>
      </c>
      <c r="R59" s="26">
        <v>590.63</v>
      </c>
      <c r="S59" s="26">
        <v>2.97</v>
      </c>
    </row>
    <row r="60" spans="1:19">
      <c r="A60" s="30" t="s">
        <v>58</v>
      </c>
      <c r="B60" s="30" t="s">
        <v>24</v>
      </c>
      <c r="C60" s="30">
        <v>201720</v>
      </c>
      <c r="D60" s="30">
        <v>21199</v>
      </c>
      <c r="E60" s="30" t="s">
        <v>111</v>
      </c>
      <c r="F60" s="30" t="s">
        <v>147</v>
      </c>
      <c r="G60" s="30" t="s">
        <v>149</v>
      </c>
      <c r="H60" s="30" t="s">
        <v>167</v>
      </c>
      <c r="I60" s="30" t="s">
        <v>184</v>
      </c>
      <c r="J60" s="30">
        <v>27</v>
      </c>
      <c r="K60" s="30">
        <v>27</v>
      </c>
      <c r="L60" s="30">
        <v>27</v>
      </c>
      <c r="M60" s="31">
        <v>1</v>
      </c>
      <c r="N60" s="31">
        <v>1</v>
      </c>
      <c r="O60" s="30">
        <v>3.44</v>
      </c>
      <c r="P60" s="30">
        <v>3.375</v>
      </c>
      <c r="Q60" s="30">
        <v>0.2</v>
      </c>
      <c r="R60" s="30">
        <v>455.63</v>
      </c>
      <c r="S60" s="30">
        <v>2.6</v>
      </c>
    </row>
    <row r="61" spans="1:19">
      <c r="A61" s="26" t="s">
        <v>58</v>
      </c>
      <c r="B61" s="26" t="s">
        <v>25</v>
      </c>
      <c r="C61" s="26">
        <v>201730</v>
      </c>
      <c r="D61" s="26">
        <v>30063</v>
      </c>
      <c r="E61" s="26" t="s">
        <v>111</v>
      </c>
      <c r="F61" s="26" t="s">
        <v>147</v>
      </c>
      <c r="G61" s="26" t="s">
        <v>148</v>
      </c>
      <c r="H61" s="26" t="s">
        <v>167</v>
      </c>
      <c r="I61" s="26" t="s">
        <v>174</v>
      </c>
      <c r="J61" s="26">
        <v>36</v>
      </c>
      <c r="K61" s="26">
        <v>36</v>
      </c>
      <c r="L61" s="26">
        <v>37</v>
      </c>
      <c r="M61" s="32">
        <v>0.97297</v>
      </c>
      <c r="N61" s="32">
        <v>0.97297</v>
      </c>
      <c r="O61" s="26">
        <v>2.78</v>
      </c>
      <c r="P61" s="26">
        <v>3.375</v>
      </c>
      <c r="Q61" s="26">
        <v>0.2</v>
      </c>
      <c r="R61" s="26">
        <v>624.38</v>
      </c>
      <c r="S61" s="26">
        <v>3.61</v>
      </c>
    </row>
    <row r="62" spans="1:19">
      <c r="A62" s="30" t="s">
        <v>58</v>
      </c>
      <c r="B62" s="30" t="s">
        <v>25</v>
      </c>
      <c r="C62" s="30">
        <v>201730</v>
      </c>
      <c r="D62" s="30">
        <v>30195</v>
      </c>
      <c r="E62" s="30" t="s">
        <v>111</v>
      </c>
      <c r="F62" s="30" t="s">
        <v>147</v>
      </c>
      <c r="G62" s="30" t="s">
        <v>150</v>
      </c>
      <c r="H62" s="30" t="s">
        <v>167</v>
      </c>
      <c r="I62" s="30" t="s">
        <v>173</v>
      </c>
      <c r="J62" s="30">
        <v>59</v>
      </c>
      <c r="K62" s="30">
        <v>59</v>
      </c>
      <c r="L62" s="30">
        <v>67</v>
      </c>
      <c r="M62" s="31">
        <v>0.8806</v>
      </c>
      <c r="N62" s="31">
        <v>0.8806</v>
      </c>
      <c r="O62" s="30">
        <v>3.52</v>
      </c>
      <c r="P62" s="30">
        <v>3.375</v>
      </c>
      <c r="Q62" s="30">
        <v>0.33</v>
      </c>
      <c r="R62" s="30">
        <v>685.23</v>
      </c>
      <c r="S62" s="30">
        <v>5.69</v>
      </c>
    </row>
    <row r="63" spans="1:19">
      <c r="A63" s="26" t="s">
        <v>58</v>
      </c>
      <c r="B63" s="26" t="s">
        <v>25</v>
      </c>
      <c r="C63" s="26">
        <v>201730</v>
      </c>
      <c r="D63" s="26">
        <v>30199</v>
      </c>
      <c r="E63" s="26" t="s">
        <v>111</v>
      </c>
      <c r="F63" s="26" t="s">
        <v>147</v>
      </c>
      <c r="G63" s="26" t="s">
        <v>148</v>
      </c>
      <c r="H63" s="26" t="s">
        <v>167</v>
      </c>
      <c r="I63" s="26" t="s">
        <v>184</v>
      </c>
      <c r="J63" s="26">
        <v>27</v>
      </c>
      <c r="K63" s="26">
        <v>27</v>
      </c>
      <c r="L63" s="26">
        <v>27</v>
      </c>
      <c r="M63" s="32">
        <v>1</v>
      </c>
      <c r="N63" s="32">
        <v>1</v>
      </c>
      <c r="O63" s="26">
        <v>3.89</v>
      </c>
      <c r="P63" s="26">
        <v>3.375</v>
      </c>
      <c r="Q63" s="26">
        <v>0.2</v>
      </c>
      <c r="R63" s="26">
        <v>455.63</v>
      </c>
      <c r="S63" s="26">
        <v>2.68</v>
      </c>
    </row>
    <row r="64" spans="1:19">
      <c r="A64" s="30" t="s">
        <v>58</v>
      </c>
      <c r="B64" s="30" t="s">
        <v>25</v>
      </c>
      <c r="C64" s="30">
        <v>201730</v>
      </c>
      <c r="D64" s="30">
        <v>30204</v>
      </c>
      <c r="E64" s="30" t="s">
        <v>111</v>
      </c>
      <c r="F64" s="30" t="s">
        <v>147</v>
      </c>
      <c r="G64" s="30" t="s">
        <v>148</v>
      </c>
      <c r="H64" s="30" t="s">
        <v>181</v>
      </c>
      <c r="I64" s="30" t="s">
        <v>172</v>
      </c>
      <c r="J64" s="30">
        <v>39</v>
      </c>
      <c r="K64" s="30">
        <v>39</v>
      </c>
      <c r="L64" s="30">
        <v>39</v>
      </c>
      <c r="M64" s="31">
        <v>1</v>
      </c>
      <c r="N64" s="31">
        <v>1</v>
      </c>
      <c r="O64" s="30">
        <v>3.87</v>
      </c>
      <c r="P64" s="30">
        <v>3.375</v>
      </c>
      <c r="Q64" s="30">
        <v>0.2</v>
      </c>
      <c r="R64" s="30">
        <v>658.13</v>
      </c>
      <c r="S64" s="30">
        <v>3.8</v>
      </c>
    </row>
    <row r="65" spans="1:19">
      <c r="A65" s="26" t="s">
        <v>58</v>
      </c>
      <c r="B65" s="26" t="s">
        <v>25</v>
      </c>
      <c r="C65" s="26">
        <v>201730</v>
      </c>
      <c r="D65" s="26">
        <v>30205</v>
      </c>
      <c r="E65" s="26" t="s">
        <v>111</v>
      </c>
      <c r="F65" s="26" t="s">
        <v>147</v>
      </c>
      <c r="G65" s="26" t="s">
        <v>148</v>
      </c>
      <c r="H65" s="26" t="s">
        <v>167</v>
      </c>
      <c r="I65" s="26" t="s">
        <v>182</v>
      </c>
      <c r="J65" s="26">
        <v>23</v>
      </c>
      <c r="K65" s="26">
        <v>23</v>
      </c>
      <c r="L65" s="26">
        <v>24</v>
      </c>
      <c r="M65" s="32">
        <v>0.95833</v>
      </c>
      <c r="N65" s="32">
        <v>0.95833</v>
      </c>
      <c r="O65" s="26">
        <v>3.25</v>
      </c>
      <c r="P65" s="26">
        <v>3.375</v>
      </c>
      <c r="Q65" s="26">
        <v>0.2</v>
      </c>
      <c r="R65" s="26">
        <v>405</v>
      </c>
      <c r="S65" s="26">
        <v>2.38</v>
      </c>
    </row>
    <row r="66" spans="1:19">
      <c r="A66" s="30" t="s">
        <v>58</v>
      </c>
      <c r="B66" s="30" t="s">
        <v>25</v>
      </c>
      <c r="C66" s="30">
        <v>201730</v>
      </c>
      <c r="D66" s="30">
        <v>30213</v>
      </c>
      <c r="E66" s="30" t="s">
        <v>111</v>
      </c>
      <c r="F66" s="30" t="s">
        <v>147</v>
      </c>
      <c r="G66" s="30" t="s">
        <v>148</v>
      </c>
      <c r="H66" s="30" t="s">
        <v>167</v>
      </c>
      <c r="I66" s="30" t="s">
        <v>178</v>
      </c>
      <c r="J66" s="30">
        <v>27</v>
      </c>
      <c r="K66" s="30">
        <v>27</v>
      </c>
      <c r="L66" s="30">
        <v>27</v>
      </c>
      <c r="M66" s="31">
        <v>1</v>
      </c>
      <c r="N66" s="31">
        <v>1</v>
      </c>
      <c r="O66" s="30">
        <v>3.37</v>
      </c>
      <c r="P66" s="30">
        <v>3.375</v>
      </c>
      <c r="Q66" s="30">
        <v>0.2</v>
      </c>
      <c r="R66" s="30">
        <v>455.63</v>
      </c>
      <c r="S66" s="30">
        <v>2.68</v>
      </c>
    </row>
    <row r="67" spans="1:19">
      <c r="A67" s="26" t="s">
        <v>58</v>
      </c>
      <c r="B67" s="26" t="s">
        <v>25</v>
      </c>
      <c r="C67" s="26">
        <v>201730</v>
      </c>
      <c r="D67" s="26">
        <v>30215</v>
      </c>
      <c r="E67" s="26" t="s">
        <v>111</v>
      </c>
      <c r="F67" s="26" t="s">
        <v>147</v>
      </c>
      <c r="G67" s="26" t="s">
        <v>148</v>
      </c>
      <c r="H67" s="26" t="s">
        <v>167</v>
      </c>
      <c r="I67" s="26" t="s">
        <v>178</v>
      </c>
      <c r="J67" s="26">
        <v>27</v>
      </c>
      <c r="K67" s="26">
        <v>27</v>
      </c>
      <c r="L67" s="26">
        <v>27</v>
      </c>
      <c r="M67" s="32">
        <v>1</v>
      </c>
      <c r="N67" s="32">
        <v>1</v>
      </c>
      <c r="O67" s="26">
        <v>3.52</v>
      </c>
      <c r="P67" s="26">
        <v>3.375</v>
      </c>
      <c r="Q67" s="26">
        <v>0.2</v>
      </c>
      <c r="R67" s="26">
        <v>455.63</v>
      </c>
      <c r="S67" s="26">
        <v>2.68</v>
      </c>
    </row>
    <row r="68" spans="1:19">
      <c r="A68" s="30" t="s">
        <v>1</v>
      </c>
      <c r="B68" s="30" t="s">
        <v>26</v>
      </c>
      <c r="C68" s="30">
        <v>201810</v>
      </c>
      <c r="D68" s="30">
        <v>10607</v>
      </c>
      <c r="E68" s="30" t="s">
        <v>111</v>
      </c>
      <c r="F68" s="30" t="s">
        <v>147</v>
      </c>
      <c r="G68" s="30" t="s">
        <v>148</v>
      </c>
      <c r="H68" s="30" t="s">
        <v>167</v>
      </c>
      <c r="I68" s="30" t="s">
        <v>175</v>
      </c>
      <c r="J68" s="30">
        <v>40</v>
      </c>
      <c r="K68" s="30">
        <v>45</v>
      </c>
      <c r="L68" s="30">
        <v>45</v>
      </c>
      <c r="M68" s="31">
        <v>0.88889</v>
      </c>
      <c r="N68" s="31">
        <v>1</v>
      </c>
      <c r="O68" s="30">
        <v>3.2</v>
      </c>
      <c r="P68" s="30">
        <v>3.375</v>
      </c>
      <c r="Q68" s="30">
        <v>0.2</v>
      </c>
      <c r="R68" s="30">
        <v>759.38</v>
      </c>
      <c r="S68" s="30">
        <v>4.33</v>
      </c>
    </row>
    <row r="69" spans="1:19">
      <c r="A69" s="26" t="s">
        <v>1</v>
      </c>
      <c r="B69" s="26" t="s">
        <v>26</v>
      </c>
      <c r="C69" s="26">
        <v>201810</v>
      </c>
      <c r="D69" s="26">
        <v>10608</v>
      </c>
      <c r="E69" s="26" t="s">
        <v>111</v>
      </c>
      <c r="F69" s="26" t="s">
        <v>147</v>
      </c>
      <c r="G69" s="26" t="s">
        <v>148</v>
      </c>
      <c r="H69" s="26" t="s">
        <v>167</v>
      </c>
      <c r="I69" s="26" t="s">
        <v>178</v>
      </c>
      <c r="J69" s="26">
        <v>34</v>
      </c>
      <c r="K69" s="26">
        <v>41</v>
      </c>
      <c r="L69" s="26">
        <v>42</v>
      </c>
      <c r="M69" s="32">
        <v>0.80952</v>
      </c>
      <c r="N69" s="32">
        <v>0.97619</v>
      </c>
      <c r="O69" s="26">
        <v>2.67</v>
      </c>
      <c r="P69" s="26">
        <v>3.375</v>
      </c>
      <c r="Q69" s="26">
        <v>0.2</v>
      </c>
      <c r="R69" s="26">
        <v>708.75</v>
      </c>
      <c r="S69" s="26">
        <v>4.04</v>
      </c>
    </row>
    <row r="70" spans="1:19">
      <c r="A70" s="30" t="s">
        <v>1</v>
      </c>
      <c r="B70" s="30" t="s">
        <v>26</v>
      </c>
      <c r="C70" s="30">
        <v>201810</v>
      </c>
      <c r="D70" s="30">
        <v>10609</v>
      </c>
      <c r="E70" s="30" t="s">
        <v>111</v>
      </c>
      <c r="F70" s="30" t="s">
        <v>147</v>
      </c>
      <c r="G70" s="30" t="s">
        <v>148</v>
      </c>
      <c r="H70" s="30" t="s">
        <v>167</v>
      </c>
      <c r="I70" s="30" t="s">
        <v>170</v>
      </c>
      <c r="J70" s="30">
        <v>97</v>
      </c>
      <c r="K70" s="30">
        <v>113</v>
      </c>
      <c r="L70" s="30">
        <v>119</v>
      </c>
      <c r="M70" s="31">
        <v>0.81513</v>
      </c>
      <c r="N70" s="31">
        <v>0.94958</v>
      </c>
      <c r="O70" s="30">
        <v>2.48</v>
      </c>
      <c r="P70" s="30">
        <v>3.375</v>
      </c>
      <c r="Q70" s="30">
        <v>0.2</v>
      </c>
      <c r="R70" s="30">
        <v>2008.13</v>
      </c>
      <c r="S70" s="30">
        <v>11.46</v>
      </c>
    </row>
    <row r="71" spans="1:19">
      <c r="A71" s="26" t="s">
        <v>1</v>
      </c>
      <c r="B71" s="26" t="s">
        <v>26</v>
      </c>
      <c r="C71" s="26">
        <v>201810</v>
      </c>
      <c r="D71" s="26">
        <v>10610</v>
      </c>
      <c r="E71" s="26" t="s">
        <v>111</v>
      </c>
      <c r="F71" s="26" t="s">
        <v>147</v>
      </c>
      <c r="G71" s="26" t="s">
        <v>148</v>
      </c>
      <c r="H71" s="26" t="s">
        <v>167</v>
      </c>
      <c r="I71" s="26" t="s">
        <v>171</v>
      </c>
      <c r="J71" s="26">
        <v>43</v>
      </c>
      <c r="K71" s="26">
        <v>47</v>
      </c>
      <c r="L71" s="26">
        <v>47</v>
      </c>
      <c r="M71" s="32">
        <v>0.91489</v>
      </c>
      <c r="N71" s="32">
        <v>1</v>
      </c>
      <c r="O71" s="26">
        <v>3.38</v>
      </c>
      <c r="P71" s="26">
        <v>3.375</v>
      </c>
      <c r="Q71" s="26">
        <v>0.2</v>
      </c>
      <c r="R71" s="26">
        <v>793.13</v>
      </c>
      <c r="S71" s="26">
        <v>4.53</v>
      </c>
    </row>
    <row r="72" spans="1:19">
      <c r="A72" s="30" t="s">
        <v>1</v>
      </c>
      <c r="B72" s="30" t="s">
        <v>26</v>
      </c>
      <c r="C72" s="30">
        <v>201810</v>
      </c>
      <c r="D72" s="30">
        <v>10611</v>
      </c>
      <c r="E72" s="30" t="s">
        <v>111</v>
      </c>
      <c r="F72" s="30" t="s">
        <v>147</v>
      </c>
      <c r="G72" s="30" t="s">
        <v>148</v>
      </c>
      <c r="H72" s="30" t="s">
        <v>167</v>
      </c>
      <c r="I72" s="30" t="s">
        <v>171</v>
      </c>
      <c r="J72" s="30">
        <v>44</v>
      </c>
      <c r="K72" s="30">
        <v>48</v>
      </c>
      <c r="L72" s="30">
        <v>48</v>
      </c>
      <c r="M72" s="31">
        <v>0.91667</v>
      </c>
      <c r="N72" s="31">
        <v>1</v>
      </c>
      <c r="O72" s="30">
        <v>3.4</v>
      </c>
      <c r="P72" s="30">
        <v>3.375</v>
      </c>
      <c r="Q72" s="30">
        <v>0.2</v>
      </c>
      <c r="R72" s="30">
        <v>810</v>
      </c>
      <c r="S72" s="30">
        <v>4.62</v>
      </c>
    </row>
    <row r="73" spans="1:19">
      <c r="A73" s="26" t="s">
        <v>1</v>
      </c>
      <c r="B73" s="26" t="s">
        <v>26</v>
      </c>
      <c r="C73" s="26">
        <v>201810</v>
      </c>
      <c r="D73" s="26">
        <v>10613</v>
      </c>
      <c r="E73" s="26" t="s">
        <v>111</v>
      </c>
      <c r="F73" s="26" t="s">
        <v>147</v>
      </c>
      <c r="G73" s="26" t="s">
        <v>149</v>
      </c>
      <c r="H73" s="26" t="s">
        <v>167</v>
      </c>
      <c r="I73" s="26" t="s">
        <v>183</v>
      </c>
      <c r="J73" s="26">
        <v>27</v>
      </c>
      <c r="K73" s="26">
        <v>38</v>
      </c>
      <c r="L73" s="26">
        <v>43</v>
      </c>
      <c r="M73" s="32">
        <v>0.62791</v>
      </c>
      <c r="N73" s="32">
        <v>0.88372</v>
      </c>
      <c r="O73" s="26">
        <v>1.88</v>
      </c>
      <c r="P73" s="26">
        <v>3.375</v>
      </c>
      <c r="Q73" s="26">
        <v>0.2</v>
      </c>
      <c r="R73" s="26">
        <v>725.63</v>
      </c>
      <c r="S73" s="26">
        <v>4.14</v>
      </c>
    </row>
    <row r="74" spans="1:19">
      <c r="A74" s="30" t="s">
        <v>1</v>
      </c>
      <c r="B74" s="30" t="s">
        <v>26</v>
      </c>
      <c r="C74" s="30">
        <v>201810</v>
      </c>
      <c r="D74" s="30">
        <v>10616</v>
      </c>
      <c r="E74" s="30" t="s">
        <v>111</v>
      </c>
      <c r="F74" s="30" t="s">
        <v>147</v>
      </c>
      <c r="G74" s="30" t="s">
        <v>149</v>
      </c>
      <c r="H74" s="30" t="s">
        <v>167</v>
      </c>
      <c r="I74" s="30" t="s">
        <v>179</v>
      </c>
      <c r="J74" s="30">
        <v>38</v>
      </c>
      <c r="K74" s="30">
        <v>41</v>
      </c>
      <c r="L74" s="30">
        <v>43</v>
      </c>
      <c r="M74" s="31">
        <v>0.88372</v>
      </c>
      <c r="N74" s="31">
        <v>0.95349</v>
      </c>
      <c r="O74" s="30">
        <v>3.26</v>
      </c>
      <c r="P74" s="30">
        <v>3.375</v>
      </c>
      <c r="Q74" s="30">
        <v>0.2</v>
      </c>
      <c r="R74" s="30">
        <v>725.63</v>
      </c>
      <c r="S74" s="30">
        <v>4.14</v>
      </c>
    </row>
    <row r="75" spans="1:19">
      <c r="A75" s="26" t="s">
        <v>1</v>
      </c>
      <c r="B75" s="26" t="s">
        <v>26</v>
      </c>
      <c r="C75" s="26">
        <v>201810</v>
      </c>
      <c r="D75" s="26">
        <v>11036</v>
      </c>
      <c r="E75" s="26" t="s">
        <v>111</v>
      </c>
      <c r="F75" s="26" t="s">
        <v>147</v>
      </c>
      <c r="G75" s="26" t="s">
        <v>150</v>
      </c>
      <c r="H75" s="26" t="s">
        <v>167</v>
      </c>
      <c r="I75" s="26" t="s">
        <v>168</v>
      </c>
      <c r="J75" s="26">
        <v>28</v>
      </c>
      <c r="K75" s="26">
        <v>41</v>
      </c>
      <c r="L75" s="26">
        <v>44</v>
      </c>
      <c r="M75" s="32">
        <v>0.63636</v>
      </c>
      <c r="N75" s="32">
        <v>0.93182</v>
      </c>
      <c r="O75" s="26">
        <v>2.05</v>
      </c>
      <c r="P75" s="26">
        <v>3.375</v>
      </c>
      <c r="Q75" s="26">
        <v>0.2</v>
      </c>
      <c r="R75" s="26">
        <v>742.5</v>
      </c>
      <c r="S75" s="26">
        <v>3.74</v>
      </c>
    </row>
    <row r="76" spans="1:19">
      <c r="A76" s="30" t="s">
        <v>1</v>
      </c>
      <c r="B76" s="30" t="s">
        <v>26</v>
      </c>
      <c r="C76" s="30">
        <v>201810</v>
      </c>
      <c r="D76" s="30">
        <v>11258</v>
      </c>
      <c r="E76" s="30" t="s">
        <v>111</v>
      </c>
      <c r="F76" s="30" t="s">
        <v>147</v>
      </c>
      <c r="G76" s="30" t="s">
        <v>148</v>
      </c>
      <c r="H76" s="30" t="s">
        <v>167</v>
      </c>
      <c r="I76" s="30" t="s">
        <v>178</v>
      </c>
      <c r="J76" s="30">
        <v>22</v>
      </c>
      <c r="K76" s="30">
        <v>29</v>
      </c>
      <c r="L76" s="30">
        <v>33</v>
      </c>
      <c r="M76" s="31">
        <v>0.66667</v>
      </c>
      <c r="N76" s="31">
        <v>0.87879</v>
      </c>
      <c r="O76" s="30">
        <v>2.24</v>
      </c>
      <c r="P76" s="30">
        <v>3.375</v>
      </c>
      <c r="Q76" s="30">
        <v>0.2</v>
      </c>
      <c r="R76" s="30">
        <v>556.88</v>
      </c>
      <c r="S76" s="30">
        <v>3.18</v>
      </c>
    </row>
    <row r="77" spans="1:19">
      <c r="A77" s="26" t="s">
        <v>1</v>
      </c>
      <c r="B77" s="26" t="s">
        <v>26</v>
      </c>
      <c r="C77" s="26">
        <v>201810</v>
      </c>
      <c r="D77" s="26">
        <v>11265</v>
      </c>
      <c r="E77" s="26" t="s">
        <v>111</v>
      </c>
      <c r="F77" s="26" t="s">
        <v>147</v>
      </c>
      <c r="G77" s="26" t="s">
        <v>148</v>
      </c>
      <c r="H77" s="26" t="s">
        <v>167</v>
      </c>
      <c r="I77" s="26" t="s">
        <v>178</v>
      </c>
      <c r="J77" s="26">
        <v>30</v>
      </c>
      <c r="K77" s="26">
        <v>43</v>
      </c>
      <c r="L77" s="26">
        <v>48</v>
      </c>
      <c r="M77" s="32">
        <v>0.625</v>
      </c>
      <c r="N77" s="32">
        <v>0.89583</v>
      </c>
      <c r="O77" s="26">
        <v>1.96</v>
      </c>
      <c r="P77" s="26">
        <v>3.375</v>
      </c>
      <c r="Q77" s="26">
        <v>0.2</v>
      </c>
      <c r="R77" s="26">
        <v>810</v>
      </c>
      <c r="S77" s="26">
        <v>4.62</v>
      </c>
    </row>
    <row r="78" spans="1:19">
      <c r="A78" s="30" t="s">
        <v>1</v>
      </c>
      <c r="B78" s="30" t="s">
        <v>26</v>
      </c>
      <c r="C78" s="30">
        <v>201810</v>
      </c>
      <c r="D78" s="30">
        <v>11289</v>
      </c>
      <c r="E78" s="30" t="s">
        <v>111</v>
      </c>
      <c r="F78" s="30" t="s">
        <v>147</v>
      </c>
      <c r="G78" s="30" t="s">
        <v>148</v>
      </c>
      <c r="H78" s="30" t="s">
        <v>167</v>
      </c>
      <c r="I78" s="30" t="s">
        <v>184</v>
      </c>
      <c r="J78" s="30">
        <v>25</v>
      </c>
      <c r="K78" s="30">
        <v>25</v>
      </c>
      <c r="L78" s="30">
        <v>27</v>
      </c>
      <c r="M78" s="31">
        <v>0.92593</v>
      </c>
      <c r="N78" s="31">
        <v>0.92593</v>
      </c>
      <c r="O78" s="30">
        <v>3.33</v>
      </c>
      <c r="P78" s="30">
        <v>3.375</v>
      </c>
      <c r="Q78" s="30">
        <v>0.2</v>
      </c>
      <c r="R78" s="30">
        <v>455.63</v>
      </c>
      <c r="S78" s="30">
        <v>2.6</v>
      </c>
    </row>
    <row r="79" spans="1:19">
      <c r="A79" s="26" t="s">
        <v>1</v>
      </c>
      <c r="B79" s="26" t="s">
        <v>26</v>
      </c>
      <c r="C79" s="26">
        <v>201810</v>
      </c>
      <c r="D79" s="26">
        <v>11302</v>
      </c>
      <c r="E79" s="26" t="s">
        <v>111</v>
      </c>
      <c r="F79" s="26" t="s">
        <v>147</v>
      </c>
      <c r="G79" s="26" t="s">
        <v>148</v>
      </c>
      <c r="H79" s="26" t="s">
        <v>181</v>
      </c>
      <c r="I79" s="26" t="s">
        <v>168</v>
      </c>
      <c r="J79" s="26">
        <v>34</v>
      </c>
      <c r="K79" s="26">
        <v>39</v>
      </c>
      <c r="L79" s="26">
        <v>39</v>
      </c>
      <c r="M79" s="32">
        <v>0.87179</v>
      </c>
      <c r="N79" s="32">
        <v>1</v>
      </c>
      <c r="O79" s="26">
        <v>3.26</v>
      </c>
      <c r="P79" s="26">
        <v>3.375</v>
      </c>
      <c r="Q79" s="26">
        <v>0.2</v>
      </c>
      <c r="R79" s="26">
        <v>658.13</v>
      </c>
      <c r="S79" s="26">
        <v>3.77</v>
      </c>
    </row>
    <row r="80" spans="1:19">
      <c r="A80" s="30" t="s">
        <v>1</v>
      </c>
      <c r="B80" s="30" t="s">
        <v>27</v>
      </c>
      <c r="C80" s="30">
        <v>201815</v>
      </c>
      <c r="D80" s="30">
        <v>15088</v>
      </c>
      <c r="E80" s="30" t="s">
        <v>111</v>
      </c>
      <c r="F80" s="30" t="s">
        <v>147</v>
      </c>
      <c r="G80" s="30" t="s">
        <v>148</v>
      </c>
      <c r="H80" s="30" t="s">
        <v>167</v>
      </c>
      <c r="I80" s="30" t="s">
        <v>168</v>
      </c>
      <c r="J80" s="30">
        <v>23</v>
      </c>
      <c r="K80" s="30">
        <v>27</v>
      </c>
      <c r="L80" s="30">
        <v>29</v>
      </c>
      <c r="M80" s="31">
        <v>0.7931</v>
      </c>
      <c r="N80" s="31">
        <v>0.93103</v>
      </c>
      <c r="O80" s="30">
        <v>2.93</v>
      </c>
      <c r="P80" s="30">
        <v>3.375</v>
      </c>
      <c r="Q80" s="30">
        <v>0.2</v>
      </c>
      <c r="R80" s="30">
        <v>489.38</v>
      </c>
      <c r="S80" s="30">
        <v>2.83</v>
      </c>
    </row>
    <row r="81" spans="1:19">
      <c r="A81" s="26" t="s">
        <v>1</v>
      </c>
      <c r="B81" s="26" t="s">
        <v>27</v>
      </c>
      <c r="C81" s="26">
        <v>201815</v>
      </c>
      <c r="D81" s="26">
        <v>15089</v>
      </c>
      <c r="E81" s="26" t="s">
        <v>111</v>
      </c>
      <c r="F81" s="26" t="s">
        <v>147</v>
      </c>
      <c r="G81" s="26" t="s">
        <v>148</v>
      </c>
      <c r="H81" s="26" t="s">
        <v>167</v>
      </c>
      <c r="I81" s="26" t="s">
        <v>168</v>
      </c>
      <c r="J81" s="26">
        <v>42</v>
      </c>
      <c r="K81" s="26">
        <v>44</v>
      </c>
      <c r="L81" s="26">
        <v>45</v>
      </c>
      <c r="M81" s="32">
        <v>0.93333</v>
      </c>
      <c r="N81" s="32">
        <v>0.97778</v>
      </c>
      <c r="O81" s="26">
        <v>3.49</v>
      </c>
      <c r="P81" s="26">
        <v>3.375</v>
      </c>
      <c r="Q81" s="26">
        <v>0.2</v>
      </c>
      <c r="R81" s="26">
        <v>759.38</v>
      </c>
      <c r="S81" s="26">
        <v>4.4</v>
      </c>
    </row>
    <row r="82" spans="1:19">
      <c r="A82" s="30" t="s">
        <v>1</v>
      </c>
      <c r="B82" s="30" t="s">
        <v>27</v>
      </c>
      <c r="C82" s="30">
        <v>201815</v>
      </c>
      <c r="D82" s="30">
        <v>15170</v>
      </c>
      <c r="E82" s="30" t="s">
        <v>111</v>
      </c>
      <c r="F82" s="30" t="s">
        <v>147</v>
      </c>
      <c r="G82" s="30" t="s">
        <v>150</v>
      </c>
      <c r="H82" s="30" t="s">
        <v>167</v>
      </c>
      <c r="I82" s="30" t="s">
        <v>168</v>
      </c>
      <c r="J82" s="30">
        <v>50</v>
      </c>
      <c r="K82" s="30">
        <v>53</v>
      </c>
      <c r="L82" s="30">
        <v>56</v>
      </c>
      <c r="M82" s="31">
        <v>0.89286</v>
      </c>
      <c r="N82" s="31">
        <v>0.94643</v>
      </c>
      <c r="O82" s="30">
        <v>3.39</v>
      </c>
      <c r="P82" s="30">
        <v>3.375</v>
      </c>
      <c r="Q82" s="30">
        <v>0.2</v>
      </c>
      <c r="R82" s="30">
        <v>945</v>
      </c>
      <c r="S82" s="30">
        <v>4.76</v>
      </c>
    </row>
    <row r="83" spans="1:19">
      <c r="A83" s="26" t="s">
        <v>1</v>
      </c>
      <c r="B83" s="26" t="s">
        <v>28</v>
      </c>
      <c r="C83" s="26">
        <v>201820</v>
      </c>
      <c r="D83" s="26">
        <v>20603</v>
      </c>
      <c r="E83" s="26" t="s">
        <v>111</v>
      </c>
      <c r="F83" s="26" t="s">
        <v>147</v>
      </c>
      <c r="G83" s="26" t="s">
        <v>148</v>
      </c>
      <c r="H83" s="26" t="s">
        <v>167</v>
      </c>
      <c r="I83" s="26" t="s">
        <v>183</v>
      </c>
      <c r="J83" s="26">
        <v>28</v>
      </c>
      <c r="K83" s="26">
        <v>40</v>
      </c>
      <c r="L83" s="26">
        <v>45</v>
      </c>
      <c r="M83" s="32">
        <v>0.62222</v>
      </c>
      <c r="N83" s="32">
        <v>0.88889</v>
      </c>
      <c r="O83" s="26">
        <v>2.11</v>
      </c>
      <c r="P83" s="26">
        <v>3.375</v>
      </c>
      <c r="Q83" s="26">
        <v>0.2</v>
      </c>
      <c r="R83" s="26">
        <v>759.38</v>
      </c>
      <c r="S83" s="26">
        <v>4.33</v>
      </c>
    </row>
    <row r="84" spans="1:19">
      <c r="A84" s="30" t="s">
        <v>1</v>
      </c>
      <c r="B84" s="30" t="s">
        <v>28</v>
      </c>
      <c r="C84" s="30">
        <v>201820</v>
      </c>
      <c r="D84" s="30">
        <v>20604</v>
      </c>
      <c r="E84" s="30" t="s">
        <v>111</v>
      </c>
      <c r="F84" s="30" t="s">
        <v>147</v>
      </c>
      <c r="G84" s="30" t="s">
        <v>148</v>
      </c>
      <c r="H84" s="30" t="s">
        <v>167</v>
      </c>
      <c r="I84" s="30" t="s">
        <v>183</v>
      </c>
      <c r="J84" s="30">
        <v>30</v>
      </c>
      <c r="K84" s="30">
        <v>45</v>
      </c>
      <c r="L84" s="30">
        <v>47</v>
      </c>
      <c r="M84" s="31">
        <v>0.6383</v>
      </c>
      <c r="N84" s="31">
        <v>0.95745</v>
      </c>
      <c r="O84" s="30">
        <v>1.89</v>
      </c>
      <c r="P84" s="30">
        <v>3.375</v>
      </c>
      <c r="Q84" s="30">
        <v>0.2</v>
      </c>
      <c r="R84" s="30">
        <v>793.13</v>
      </c>
      <c r="S84" s="30">
        <v>4.53</v>
      </c>
    </row>
    <row r="85" spans="1:19">
      <c r="A85" s="26" t="s">
        <v>1</v>
      </c>
      <c r="B85" s="26" t="s">
        <v>28</v>
      </c>
      <c r="C85" s="26">
        <v>201820</v>
      </c>
      <c r="D85" s="26">
        <v>20605</v>
      </c>
      <c r="E85" s="26" t="s">
        <v>111</v>
      </c>
      <c r="F85" s="26" t="s">
        <v>147</v>
      </c>
      <c r="G85" s="26" t="s">
        <v>148</v>
      </c>
      <c r="H85" s="26" t="s">
        <v>167</v>
      </c>
      <c r="I85" s="26" t="s">
        <v>183</v>
      </c>
      <c r="J85" s="26">
        <v>27</v>
      </c>
      <c r="K85" s="26">
        <v>38</v>
      </c>
      <c r="L85" s="26">
        <v>42</v>
      </c>
      <c r="M85" s="32">
        <v>0.64286</v>
      </c>
      <c r="N85" s="32">
        <v>0.90476</v>
      </c>
      <c r="O85" s="26">
        <v>2.02</v>
      </c>
      <c r="P85" s="26">
        <v>3.375</v>
      </c>
      <c r="Q85" s="26">
        <v>0.2</v>
      </c>
      <c r="R85" s="26">
        <v>708.75</v>
      </c>
      <c r="S85" s="26">
        <v>4.04</v>
      </c>
    </row>
    <row r="86" spans="1:19">
      <c r="A86" s="30" t="s">
        <v>1</v>
      </c>
      <c r="B86" s="30" t="s">
        <v>28</v>
      </c>
      <c r="C86" s="30">
        <v>201820</v>
      </c>
      <c r="D86" s="30">
        <v>20606</v>
      </c>
      <c r="E86" s="30" t="s">
        <v>111</v>
      </c>
      <c r="F86" s="30" t="s">
        <v>147</v>
      </c>
      <c r="G86" s="30" t="s">
        <v>148</v>
      </c>
      <c r="H86" s="30" t="s">
        <v>167</v>
      </c>
      <c r="I86" s="30" t="s">
        <v>170</v>
      </c>
      <c r="J86" s="30">
        <v>62</v>
      </c>
      <c r="K86" s="30">
        <v>81</v>
      </c>
      <c r="L86" s="30">
        <v>89</v>
      </c>
      <c r="M86" s="31">
        <v>0.69663</v>
      </c>
      <c r="N86" s="31">
        <v>0.91011</v>
      </c>
      <c r="O86" s="30">
        <v>2.16</v>
      </c>
      <c r="P86" s="30">
        <v>3.375</v>
      </c>
      <c r="Q86" s="30">
        <v>0.2</v>
      </c>
      <c r="R86" s="30">
        <v>1501.88</v>
      </c>
      <c r="S86" s="30">
        <v>8.57</v>
      </c>
    </row>
    <row r="87" spans="1:19">
      <c r="A87" s="26" t="s">
        <v>1</v>
      </c>
      <c r="B87" s="26" t="s">
        <v>28</v>
      </c>
      <c r="C87" s="26">
        <v>201820</v>
      </c>
      <c r="D87" s="26">
        <v>20607</v>
      </c>
      <c r="E87" s="26" t="s">
        <v>111</v>
      </c>
      <c r="F87" s="26" t="s">
        <v>147</v>
      </c>
      <c r="G87" s="26" t="s">
        <v>148</v>
      </c>
      <c r="H87" s="26" t="s">
        <v>167</v>
      </c>
      <c r="I87" s="26" t="s">
        <v>171</v>
      </c>
      <c r="J87" s="26">
        <v>49</v>
      </c>
      <c r="K87" s="26">
        <v>52</v>
      </c>
      <c r="L87" s="26">
        <v>52</v>
      </c>
      <c r="M87" s="32">
        <v>0.94231</v>
      </c>
      <c r="N87" s="32">
        <v>1</v>
      </c>
      <c r="O87" s="26">
        <v>3.54</v>
      </c>
      <c r="P87" s="26">
        <v>3.375</v>
      </c>
      <c r="Q87" s="26">
        <v>0.2</v>
      </c>
      <c r="R87" s="26">
        <v>877.5</v>
      </c>
      <c r="S87" s="26">
        <v>5.01</v>
      </c>
    </row>
    <row r="88" spans="1:19">
      <c r="A88" s="30" t="s">
        <v>1</v>
      </c>
      <c r="B88" s="30" t="s">
        <v>28</v>
      </c>
      <c r="C88" s="30">
        <v>201820</v>
      </c>
      <c r="D88" s="30">
        <v>20609</v>
      </c>
      <c r="E88" s="30" t="s">
        <v>111</v>
      </c>
      <c r="F88" s="30" t="s">
        <v>147</v>
      </c>
      <c r="G88" s="30" t="s">
        <v>148</v>
      </c>
      <c r="H88" s="30" t="s">
        <v>167</v>
      </c>
      <c r="I88" s="30" t="s">
        <v>183</v>
      </c>
      <c r="J88" s="30">
        <v>21</v>
      </c>
      <c r="K88" s="30">
        <v>35</v>
      </c>
      <c r="L88" s="30">
        <v>40</v>
      </c>
      <c r="M88" s="31">
        <v>0.525</v>
      </c>
      <c r="N88" s="31">
        <v>0.875</v>
      </c>
      <c r="O88" s="30">
        <v>1.73</v>
      </c>
      <c r="P88" s="30">
        <v>3.375</v>
      </c>
      <c r="Q88" s="30">
        <v>0.2</v>
      </c>
      <c r="R88" s="30">
        <v>675</v>
      </c>
      <c r="S88" s="30">
        <v>3.85</v>
      </c>
    </row>
    <row r="89" spans="1:19">
      <c r="A89" s="26" t="s">
        <v>1</v>
      </c>
      <c r="B89" s="26" t="s">
        <v>28</v>
      </c>
      <c r="C89" s="26">
        <v>201820</v>
      </c>
      <c r="D89" s="26">
        <v>20614</v>
      </c>
      <c r="E89" s="26" t="s">
        <v>111</v>
      </c>
      <c r="F89" s="26" t="s">
        <v>147</v>
      </c>
      <c r="G89" s="26" t="s">
        <v>149</v>
      </c>
      <c r="H89" s="26" t="s">
        <v>167</v>
      </c>
      <c r="I89" s="26" t="s">
        <v>174</v>
      </c>
      <c r="J89" s="26">
        <v>24</v>
      </c>
      <c r="K89" s="26">
        <v>30</v>
      </c>
      <c r="L89" s="26">
        <v>32</v>
      </c>
      <c r="M89" s="32">
        <v>0.75</v>
      </c>
      <c r="N89" s="32">
        <v>0.9375</v>
      </c>
      <c r="O89" s="26">
        <v>2.22</v>
      </c>
      <c r="P89" s="26">
        <v>3.375</v>
      </c>
      <c r="Q89" s="26">
        <v>0.2</v>
      </c>
      <c r="R89" s="26">
        <v>540</v>
      </c>
      <c r="S89" s="26">
        <v>3.08</v>
      </c>
    </row>
    <row r="90" spans="1:19">
      <c r="A90" s="30" t="s">
        <v>1</v>
      </c>
      <c r="B90" s="30" t="s">
        <v>28</v>
      </c>
      <c r="C90" s="30">
        <v>201820</v>
      </c>
      <c r="D90" s="30">
        <v>21180</v>
      </c>
      <c r="E90" s="30" t="s">
        <v>111</v>
      </c>
      <c r="F90" s="30" t="s">
        <v>147</v>
      </c>
      <c r="G90" s="30" t="s">
        <v>148</v>
      </c>
      <c r="H90" s="30" t="s">
        <v>167</v>
      </c>
      <c r="I90" s="30" t="s">
        <v>183</v>
      </c>
      <c r="J90" s="30">
        <v>29</v>
      </c>
      <c r="K90" s="30">
        <v>30</v>
      </c>
      <c r="L90" s="30">
        <v>32</v>
      </c>
      <c r="M90" s="31">
        <v>0.90625</v>
      </c>
      <c r="N90" s="31">
        <v>0.9375</v>
      </c>
      <c r="O90" s="30">
        <v>3.03</v>
      </c>
      <c r="P90" s="30">
        <v>3.375</v>
      </c>
      <c r="Q90" s="30">
        <v>0.2</v>
      </c>
      <c r="R90" s="30">
        <v>540</v>
      </c>
      <c r="S90" s="30">
        <v>3.08</v>
      </c>
    </row>
    <row r="91" spans="1:19">
      <c r="A91" s="26" t="s">
        <v>1</v>
      </c>
      <c r="B91" s="26" t="s">
        <v>28</v>
      </c>
      <c r="C91" s="26">
        <v>201820</v>
      </c>
      <c r="D91" s="26">
        <v>21192</v>
      </c>
      <c r="E91" s="26" t="s">
        <v>111</v>
      </c>
      <c r="F91" s="26" t="s">
        <v>147</v>
      </c>
      <c r="G91" s="26" t="s">
        <v>148</v>
      </c>
      <c r="H91" s="26" t="s">
        <v>167</v>
      </c>
      <c r="I91" s="26" t="s">
        <v>168</v>
      </c>
      <c r="J91" s="26">
        <v>20</v>
      </c>
      <c r="K91" s="26">
        <v>20</v>
      </c>
      <c r="L91" s="26">
        <v>21</v>
      </c>
      <c r="M91" s="32">
        <v>0.95238</v>
      </c>
      <c r="N91" s="32">
        <v>0.95238</v>
      </c>
      <c r="O91" s="26">
        <v>3.81</v>
      </c>
      <c r="P91" s="26">
        <v>3.375</v>
      </c>
      <c r="Q91" s="26">
        <v>0.2</v>
      </c>
      <c r="R91" s="26">
        <v>354.38</v>
      </c>
      <c r="S91" s="26">
        <v>2.02</v>
      </c>
    </row>
    <row r="92" spans="1:19">
      <c r="A92" s="30" t="s">
        <v>1</v>
      </c>
      <c r="B92" s="30" t="s">
        <v>28</v>
      </c>
      <c r="C92" s="30">
        <v>201820</v>
      </c>
      <c r="D92" s="30">
        <v>21195</v>
      </c>
      <c r="E92" s="30" t="s">
        <v>111</v>
      </c>
      <c r="F92" s="30" t="s">
        <v>147</v>
      </c>
      <c r="G92" s="30" t="s">
        <v>148</v>
      </c>
      <c r="H92" s="30" t="s">
        <v>167</v>
      </c>
      <c r="I92" s="30" t="s">
        <v>176</v>
      </c>
      <c r="J92" s="30">
        <v>20</v>
      </c>
      <c r="K92" s="30">
        <v>20</v>
      </c>
      <c r="L92" s="30">
        <v>26</v>
      </c>
      <c r="M92" s="31">
        <v>0.76923</v>
      </c>
      <c r="N92" s="31">
        <v>0.76923</v>
      </c>
      <c r="O92" s="30">
        <v>2.73</v>
      </c>
      <c r="P92" s="30">
        <v>3.375</v>
      </c>
      <c r="Q92" s="30">
        <v>0.2</v>
      </c>
      <c r="R92" s="30">
        <v>438.75</v>
      </c>
      <c r="S92" s="30">
        <v>2.5</v>
      </c>
    </row>
    <row r="93" spans="1:19">
      <c r="A93" s="26" t="s">
        <v>1</v>
      </c>
      <c r="B93" s="26" t="s">
        <v>28</v>
      </c>
      <c r="C93" s="26">
        <v>201820</v>
      </c>
      <c r="D93" s="26">
        <v>21233</v>
      </c>
      <c r="E93" s="26" t="s">
        <v>111</v>
      </c>
      <c r="F93" s="26" t="s">
        <v>147</v>
      </c>
      <c r="G93" s="26" t="s">
        <v>150</v>
      </c>
      <c r="H93" s="26" t="s">
        <v>167</v>
      </c>
      <c r="I93" s="26" t="s">
        <v>168</v>
      </c>
      <c r="J93" s="26">
        <v>19</v>
      </c>
      <c r="K93" s="26">
        <v>41</v>
      </c>
      <c r="L93" s="26">
        <v>48</v>
      </c>
      <c r="M93" s="32">
        <v>0.39583</v>
      </c>
      <c r="N93" s="32">
        <v>0.85417</v>
      </c>
      <c r="O93" s="26">
        <v>1.54</v>
      </c>
      <c r="P93" s="26">
        <v>3.375</v>
      </c>
      <c r="Q93" s="26">
        <v>0.2</v>
      </c>
      <c r="R93" s="26">
        <v>810</v>
      </c>
      <c r="S93" s="26">
        <v>4.08</v>
      </c>
    </row>
    <row r="94" spans="1:19">
      <c r="A94" s="30" t="s">
        <v>1</v>
      </c>
      <c r="B94" s="30" t="s">
        <v>29</v>
      </c>
      <c r="C94" s="30">
        <v>201830</v>
      </c>
      <c r="D94" s="30">
        <v>30062</v>
      </c>
      <c r="E94" s="30" t="s">
        <v>111</v>
      </c>
      <c r="F94" s="30" t="s">
        <v>147</v>
      </c>
      <c r="G94" s="30" t="s">
        <v>148</v>
      </c>
      <c r="H94" s="30" t="s">
        <v>167</v>
      </c>
      <c r="I94" s="30" t="s">
        <v>176</v>
      </c>
      <c r="J94" s="30">
        <v>39</v>
      </c>
      <c r="K94" s="30">
        <v>39</v>
      </c>
      <c r="L94" s="30">
        <v>40</v>
      </c>
      <c r="M94" s="31">
        <v>0.975</v>
      </c>
      <c r="N94" s="31">
        <v>0.975</v>
      </c>
      <c r="O94" s="30">
        <v>3.28</v>
      </c>
      <c r="P94" s="30">
        <v>3.375</v>
      </c>
      <c r="Q94" s="30">
        <v>0.2</v>
      </c>
      <c r="R94" s="30">
        <v>675</v>
      </c>
      <c r="S94" s="30">
        <v>3.91</v>
      </c>
    </row>
    <row r="95" spans="1:19">
      <c r="A95" s="26" t="s">
        <v>1</v>
      </c>
      <c r="B95" s="26" t="s">
        <v>29</v>
      </c>
      <c r="C95" s="26">
        <v>201830</v>
      </c>
      <c r="D95" s="26">
        <v>30063</v>
      </c>
      <c r="E95" s="26" t="s">
        <v>111</v>
      </c>
      <c r="F95" s="26" t="s">
        <v>147</v>
      </c>
      <c r="G95" s="26" t="s">
        <v>148</v>
      </c>
      <c r="H95" s="26" t="s">
        <v>167</v>
      </c>
      <c r="I95" s="26" t="s">
        <v>171</v>
      </c>
      <c r="J95" s="26">
        <v>42</v>
      </c>
      <c r="K95" s="26">
        <v>46</v>
      </c>
      <c r="L95" s="26">
        <v>46</v>
      </c>
      <c r="M95" s="32">
        <v>0.91304</v>
      </c>
      <c r="N95" s="32">
        <v>1</v>
      </c>
      <c r="O95" s="26">
        <v>3.48</v>
      </c>
      <c r="P95" s="26">
        <v>3.375</v>
      </c>
      <c r="Q95" s="26">
        <v>0.2</v>
      </c>
      <c r="R95" s="26">
        <v>776.25</v>
      </c>
      <c r="S95" s="26">
        <v>4.49</v>
      </c>
    </row>
    <row r="96" spans="1:19">
      <c r="A96" s="30" t="s">
        <v>1</v>
      </c>
      <c r="B96" s="30" t="s">
        <v>29</v>
      </c>
      <c r="C96" s="30">
        <v>201830</v>
      </c>
      <c r="D96" s="30">
        <v>30187</v>
      </c>
      <c r="E96" s="30" t="s">
        <v>111</v>
      </c>
      <c r="F96" s="30" t="s">
        <v>147</v>
      </c>
      <c r="G96" s="30" t="s">
        <v>150</v>
      </c>
      <c r="H96" s="30" t="s">
        <v>167</v>
      </c>
      <c r="I96" s="30" t="s">
        <v>168</v>
      </c>
      <c r="J96" s="30">
        <v>63</v>
      </c>
      <c r="K96" s="30">
        <v>70</v>
      </c>
      <c r="L96" s="30">
        <v>75</v>
      </c>
      <c r="M96" s="31">
        <v>0.84</v>
      </c>
      <c r="N96" s="31">
        <v>0.93333</v>
      </c>
      <c r="O96" s="30">
        <v>3.12</v>
      </c>
      <c r="P96" s="30">
        <v>3.375</v>
      </c>
      <c r="Q96" s="30">
        <v>0.2</v>
      </c>
      <c r="R96" s="30">
        <v>1265.63</v>
      </c>
      <c r="S96" s="30">
        <v>6.37</v>
      </c>
    </row>
    <row r="97" spans="1:19">
      <c r="A97" s="26" t="s">
        <v>1</v>
      </c>
      <c r="B97" s="26" t="s">
        <v>29</v>
      </c>
      <c r="C97" s="26">
        <v>201830</v>
      </c>
      <c r="D97" s="26">
        <v>30205</v>
      </c>
      <c r="E97" s="26" t="s">
        <v>111</v>
      </c>
      <c r="F97" s="26" t="s">
        <v>147</v>
      </c>
      <c r="G97" s="26" t="s">
        <v>148</v>
      </c>
      <c r="H97" s="26" t="s">
        <v>181</v>
      </c>
      <c r="I97" s="26" t="s">
        <v>183</v>
      </c>
      <c r="J97" s="26">
        <v>27</v>
      </c>
      <c r="K97" s="26">
        <v>27</v>
      </c>
      <c r="L97" s="26">
        <v>27</v>
      </c>
      <c r="M97" s="32">
        <v>1</v>
      </c>
      <c r="N97" s="32">
        <v>1</v>
      </c>
      <c r="O97" s="26">
        <v>3.63</v>
      </c>
      <c r="P97" s="26">
        <v>3.375</v>
      </c>
      <c r="Q97" s="26">
        <v>0.2</v>
      </c>
      <c r="R97" s="26">
        <v>455.63</v>
      </c>
      <c r="S97" s="26">
        <v>2.58</v>
      </c>
    </row>
    <row r="98" spans="1:19">
      <c r="A98" s="30" t="s">
        <v>57</v>
      </c>
      <c r="B98" s="30" t="s">
        <v>20</v>
      </c>
      <c r="C98" s="30">
        <v>201620</v>
      </c>
      <c r="D98" s="30">
        <v>20784</v>
      </c>
      <c r="E98" s="30" t="s">
        <v>111</v>
      </c>
      <c r="F98" s="30" t="s">
        <v>151</v>
      </c>
      <c r="G98" s="30" t="s">
        <v>149</v>
      </c>
      <c r="H98" s="30" t="s">
        <v>167</v>
      </c>
      <c r="I98" s="30" t="s">
        <v>180</v>
      </c>
      <c r="J98" s="30">
        <v>19</v>
      </c>
      <c r="K98" s="30">
        <v>19</v>
      </c>
      <c r="L98" s="30">
        <v>22</v>
      </c>
      <c r="M98" s="31">
        <v>0.86364</v>
      </c>
      <c r="N98" s="31">
        <v>0.86364</v>
      </c>
      <c r="O98" s="30">
        <v>2.68</v>
      </c>
      <c r="P98" s="30">
        <v>3.375</v>
      </c>
      <c r="Q98" s="30">
        <v>0.2</v>
      </c>
      <c r="R98" s="30">
        <v>371.25</v>
      </c>
      <c r="S98" s="30">
        <v>2.12</v>
      </c>
    </row>
    <row r="99" spans="1:19">
      <c r="A99" s="26" t="s">
        <v>58</v>
      </c>
      <c r="B99" s="26" t="s">
        <v>24</v>
      </c>
      <c r="C99" s="26">
        <v>201720</v>
      </c>
      <c r="D99" s="26">
        <v>20784</v>
      </c>
      <c r="E99" s="26" t="s">
        <v>111</v>
      </c>
      <c r="F99" s="26" t="s">
        <v>151</v>
      </c>
      <c r="G99" s="26" t="s">
        <v>149</v>
      </c>
      <c r="H99" s="26" t="s">
        <v>167</v>
      </c>
      <c r="I99" s="26" t="s">
        <v>183</v>
      </c>
      <c r="J99" s="26">
        <v>11</v>
      </c>
      <c r="K99" s="26">
        <v>13</v>
      </c>
      <c r="L99" s="26">
        <v>16</v>
      </c>
      <c r="M99" s="32">
        <v>0.6875</v>
      </c>
      <c r="N99" s="32">
        <v>0.8125</v>
      </c>
      <c r="O99" s="26">
        <v>2.06</v>
      </c>
      <c r="P99" s="26">
        <v>3.375</v>
      </c>
      <c r="Q99" s="26">
        <v>0.2</v>
      </c>
      <c r="R99" s="26">
        <v>270</v>
      </c>
      <c r="S99" s="26">
        <v>1.54</v>
      </c>
    </row>
    <row r="100" spans="1:19">
      <c r="A100" s="30" t="s">
        <v>1</v>
      </c>
      <c r="B100" s="30" t="s">
        <v>28</v>
      </c>
      <c r="C100" s="30">
        <v>201820</v>
      </c>
      <c r="D100" s="30">
        <v>20784</v>
      </c>
      <c r="E100" s="30" t="s">
        <v>111</v>
      </c>
      <c r="F100" s="30" t="s">
        <v>151</v>
      </c>
      <c r="G100" s="30" t="s">
        <v>148</v>
      </c>
      <c r="H100" s="30" t="s">
        <v>167</v>
      </c>
      <c r="I100" s="30" t="s">
        <v>172</v>
      </c>
      <c r="J100" s="30">
        <v>14</v>
      </c>
      <c r="K100" s="30">
        <v>16</v>
      </c>
      <c r="L100" s="30">
        <v>17</v>
      </c>
      <c r="M100" s="31">
        <v>0.82353</v>
      </c>
      <c r="N100" s="31">
        <v>0.94118</v>
      </c>
      <c r="O100" s="30">
        <v>3.18</v>
      </c>
      <c r="P100" s="30">
        <v>3.375</v>
      </c>
      <c r="Q100" s="30">
        <v>0.2</v>
      </c>
      <c r="R100" s="30">
        <v>286.88</v>
      </c>
      <c r="S100" s="30">
        <v>1.64</v>
      </c>
    </row>
    <row r="101" spans="1:19">
      <c r="A101" s="26" t="s">
        <v>57</v>
      </c>
      <c r="B101" s="26" t="s">
        <v>18</v>
      </c>
      <c r="C101" s="26">
        <v>201610</v>
      </c>
      <c r="D101" s="26">
        <v>10771</v>
      </c>
      <c r="E101" s="26" t="s">
        <v>111</v>
      </c>
      <c r="F101" s="26" t="s">
        <v>152</v>
      </c>
      <c r="G101" s="26" t="s">
        <v>148</v>
      </c>
      <c r="H101" s="26" t="s">
        <v>167</v>
      </c>
      <c r="I101" s="26" t="s">
        <v>170</v>
      </c>
      <c r="J101" s="26">
        <v>19</v>
      </c>
      <c r="K101" s="26">
        <v>23</v>
      </c>
      <c r="L101" s="26">
        <v>25</v>
      </c>
      <c r="M101" s="32">
        <v>0.76</v>
      </c>
      <c r="N101" s="32">
        <v>0.92</v>
      </c>
      <c r="O101" s="26">
        <v>2.52</v>
      </c>
      <c r="P101" s="26">
        <v>3.375</v>
      </c>
      <c r="Q101" s="26">
        <v>0.2</v>
      </c>
      <c r="R101" s="26">
        <v>421.88</v>
      </c>
      <c r="S101" s="26">
        <v>2.41</v>
      </c>
    </row>
    <row r="102" spans="1:19">
      <c r="A102" s="30" t="s">
        <v>57</v>
      </c>
      <c r="B102" s="30" t="s">
        <v>20</v>
      </c>
      <c r="C102" s="30">
        <v>201620</v>
      </c>
      <c r="D102" s="30">
        <v>20766</v>
      </c>
      <c r="E102" s="30" t="s">
        <v>111</v>
      </c>
      <c r="F102" s="30" t="s">
        <v>152</v>
      </c>
      <c r="G102" s="30" t="s">
        <v>148</v>
      </c>
      <c r="H102" s="30" t="s">
        <v>167</v>
      </c>
      <c r="I102" s="30" t="s">
        <v>168</v>
      </c>
      <c r="J102" s="30">
        <v>22</v>
      </c>
      <c r="K102" s="30">
        <v>27</v>
      </c>
      <c r="L102" s="30">
        <v>27</v>
      </c>
      <c r="M102" s="31">
        <v>0.81481</v>
      </c>
      <c r="N102" s="31">
        <v>1</v>
      </c>
      <c r="O102" s="30">
        <v>2.44</v>
      </c>
      <c r="P102" s="30">
        <v>3.375</v>
      </c>
      <c r="Q102" s="30">
        <v>0.2</v>
      </c>
      <c r="R102" s="30">
        <v>455.63</v>
      </c>
      <c r="S102" s="30">
        <v>2.6</v>
      </c>
    </row>
    <row r="103" spans="1:19">
      <c r="A103" s="26" t="s">
        <v>58</v>
      </c>
      <c r="B103" s="26" t="s">
        <v>22</v>
      </c>
      <c r="C103" s="26">
        <v>201710</v>
      </c>
      <c r="D103" s="26">
        <v>10771</v>
      </c>
      <c r="E103" s="26" t="s">
        <v>111</v>
      </c>
      <c r="F103" s="26" t="s">
        <v>152</v>
      </c>
      <c r="G103" s="26" t="s">
        <v>148</v>
      </c>
      <c r="H103" s="26" t="s">
        <v>167</v>
      </c>
      <c r="I103" s="26" t="s">
        <v>170</v>
      </c>
      <c r="J103" s="26">
        <v>16</v>
      </c>
      <c r="K103" s="26">
        <v>21</v>
      </c>
      <c r="L103" s="26">
        <v>26</v>
      </c>
      <c r="M103" s="32">
        <v>0.61538</v>
      </c>
      <c r="N103" s="32">
        <v>0.80769</v>
      </c>
      <c r="O103" s="26">
        <v>2.27</v>
      </c>
      <c r="P103" s="26">
        <v>3.375</v>
      </c>
      <c r="Q103" s="26">
        <v>0.2</v>
      </c>
      <c r="R103" s="26">
        <v>438.75</v>
      </c>
      <c r="S103" s="26">
        <v>2.5</v>
      </c>
    </row>
    <row r="104" spans="1:19">
      <c r="A104" s="30" t="s">
        <v>58</v>
      </c>
      <c r="B104" s="30" t="s">
        <v>24</v>
      </c>
      <c r="C104" s="30">
        <v>201720</v>
      </c>
      <c r="D104" s="30">
        <v>20766</v>
      </c>
      <c r="E104" s="30" t="s">
        <v>111</v>
      </c>
      <c r="F104" s="30" t="s">
        <v>152</v>
      </c>
      <c r="G104" s="30" t="s">
        <v>148</v>
      </c>
      <c r="H104" s="30" t="s">
        <v>167</v>
      </c>
      <c r="I104" s="30" t="s">
        <v>170</v>
      </c>
      <c r="J104" s="30">
        <v>15</v>
      </c>
      <c r="K104" s="30">
        <v>15</v>
      </c>
      <c r="L104" s="30">
        <v>23</v>
      </c>
      <c r="M104" s="31">
        <v>0.65217</v>
      </c>
      <c r="N104" s="31">
        <v>0.65217</v>
      </c>
      <c r="O104" s="30">
        <v>2.48</v>
      </c>
      <c r="P104" s="30">
        <v>3.375</v>
      </c>
      <c r="Q104" s="30">
        <v>0.2</v>
      </c>
      <c r="R104" s="30">
        <v>388.13</v>
      </c>
      <c r="S104" s="30">
        <v>2.21</v>
      </c>
    </row>
    <row r="105" spans="1:19">
      <c r="A105" s="26" t="s">
        <v>1</v>
      </c>
      <c r="B105" s="26" t="s">
        <v>26</v>
      </c>
      <c r="C105" s="26">
        <v>201810</v>
      </c>
      <c r="D105" s="26">
        <v>10771</v>
      </c>
      <c r="E105" s="26" t="s">
        <v>111</v>
      </c>
      <c r="F105" s="26" t="s">
        <v>152</v>
      </c>
      <c r="G105" s="26" t="s">
        <v>148</v>
      </c>
      <c r="H105" s="26" t="s">
        <v>167</v>
      </c>
      <c r="I105" s="26" t="s">
        <v>170</v>
      </c>
      <c r="J105" s="26">
        <v>20</v>
      </c>
      <c r="K105" s="26">
        <v>27</v>
      </c>
      <c r="L105" s="26">
        <v>29</v>
      </c>
      <c r="M105" s="32">
        <v>0.68966</v>
      </c>
      <c r="N105" s="32">
        <v>0.93103</v>
      </c>
      <c r="O105" s="26">
        <v>2.69</v>
      </c>
      <c r="P105" s="26">
        <v>3.375</v>
      </c>
      <c r="Q105" s="26">
        <v>0.2</v>
      </c>
      <c r="R105" s="26">
        <v>489.38</v>
      </c>
      <c r="S105" s="26">
        <v>2.79</v>
      </c>
    </row>
    <row r="106" spans="1:19">
      <c r="A106" s="30" t="s">
        <v>1</v>
      </c>
      <c r="B106" s="30" t="s">
        <v>28</v>
      </c>
      <c r="C106" s="30">
        <v>201820</v>
      </c>
      <c r="D106" s="30">
        <v>20766</v>
      </c>
      <c r="E106" s="30" t="s">
        <v>111</v>
      </c>
      <c r="F106" s="30" t="s">
        <v>152</v>
      </c>
      <c r="G106" s="30" t="s">
        <v>148</v>
      </c>
      <c r="H106" s="30" t="s">
        <v>167</v>
      </c>
      <c r="I106" s="30" t="s">
        <v>170</v>
      </c>
      <c r="J106" s="30">
        <v>18</v>
      </c>
      <c r="K106" s="30">
        <v>18</v>
      </c>
      <c r="L106" s="30">
        <v>23</v>
      </c>
      <c r="M106" s="31">
        <v>0.78261</v>
      </c>
      <c r="N106" s="31">
        <v>0.78261</v>
      </c>
      <c r="O106" s="30">
        <v>3</v>
      </c>
      <c r="P106" s="30">
        <v>3.375</v>
      </c>
      <c r="Q106" s="30">
        <v>0.2</v>
      </c>
      <c r="R106" s="30">
        <v>388.13</v>
      </c>
      <c r="S106" s="30">
        <v>2.21</v>
      </c>
    </row>
    <row r="107" spans="1:19">
      <c r="A107" s="26" t="s">
        <v>1</v>
      </c>
      <c r="B107" s="26" t="s">
        <v>28</v>
      </c>
      <c r="C107" s="26">
        <v>201820</v>
      </c>
      <c r="D107" s="26">
        <v>21263</v>
      </c>
      <c r="E107" s="26" t="s">
        <v>111</v>
      </c>
      <c r="F107" s="26" t="s">
        <v>152</v>
      </c>
      <c r="G107" s="26" t="s">
        <v>148</v>
      </c>
      <c r="H107" s="26" t="s">
        <v>167</v>
      </c>
      <c r="I107" s="26" t="s">
        <v>182</v>
      </c>
      <c r="J107" s="26">
        <v>23</v>
      </c>
      <c r="K107" s="26">
        <v>23</v>
      </c>
      <c r="L107" s="26">
        <v>26</v>
      </c>
      <c r="M107" s="32">
        <v>0.88462</v>
      </c>
      <c r="N107" s="32">
        <v>0.88462</v>
      </c>
      <c r="O107" s="26">
        <v>3.15</v>
      </c>
      <c r="P107" s="26">
        <v>3.375</v>
      </c>
      <c r="Q107" s="26">
        <v>0.2</v>
      </c>
      <c r="R107" s="26">
        <v>438.75</v>
      </c>
      <c r="S107" s="26">
        <v>2.5</v>
      </c>
    </row>
    <row r="108" spans="1:19">
      <c r="A108" s="30" t="s">
        <v>1</v>
      </c>
      <c r="B108" s="30" t="s">
        <v>29</v>
      </c>
      <c r="C108" s="30">
        <v>201830</v>
      </c>
      <c r="D108" s="30">
        <v>30203</v>
      </c>
      <c r="E108" s="30" t="s">
        <v>111</v>
      </c>
      <c r="F108" s="30" t="s">
        <v>152</v>
      </c>
      <c r="G108" s="30" t="s">
        <v>149</v>
      </c>
      <c r="H108" s="30" t="s">
        <v>167</v>
      </c>
      <c r="I108" s="30" t="s">
        <v>182</v>
      </c>
      <c r="J108" s="30">
        <v>24</v>
      </c>
      <c r="K108" s="30">
        <v>24</v>
      </c>
      <c r="L108" s="30">
        <v>26</v>
      </c>
      <c r="M108" s="31">
        <v>0.92308</v>
      </c>
      <c r="N108" s="31">
        <v>0.92308</v>
      </c>
      <c r="O108" s="30">
        <v>3.58</v>
      </c>
      <c r="P108" s="30">
        <v>3.375</v>
      </c>
      <c r="Q108" s="30">
        <v>0.2</v>
      </c>
      <c r="R108" s="30">
        <v>438.75</v>
      </c>
      <c r="S108" s="30">
        <v>2.58</v>
      </c>
    </row>
    <row r="109" spans="1:19">
      <c r="A109" s="26" t="s">
        <v>57</v>
      </c>
      <c r="B109" s="26" t="s">
        <v>18</v>
      </c>
      <c r="C109" s="26">
        <v>201610</v>
      </c>
      <c r="D109" s="26">
        <v>10619</v>
      </c>
      <c r="E109" s="26" t="s">
        <v>111</v>
      </c>
      <c r="F109" s="26" t="s">
        <v>153</v>
      </c>
      <c r="G109" s="26" t="s">
        <v>148</v>
      </c>
      <c r="H109" s="26" t="s">
        <v>167</v>
      </c>
      <c r="I109" s="26" t="s">
        <v>176</v>
      </c>
      <c r="J109" s="26">
        <v>18</v>
      </c>
      <c r="K109" s="26">
        <v>22</v>
      </c>
      <c r="L109" s="26">
        <v>23</v>
      </c>
      <c r="M109" s="32">
        <v>0.78261</v>
      </c>
      <c r="N109" s="32">
        <v>0.95652</v>
      </c>
      <c r="O109" s="26">
        <v>2.91</v>
      </c>
      <c r="P109" s="26">
        <v>3.375</v>
      </c>
      <c r="Q109" s="26">
        <v>0.2</v>
      </c>
      <c r="R109" s="26">
        <v>388.13</v>
      </c>
      <c r="S109" s="26">
        <v>2.21</v>
      </c>
    </row>
    <row r="110" spans="1:19">
      <c r="A110" s="30" t="s">
        <v>58</v>
      </c>
      <c r="B110" s="30" t="s">
        <v>22</v>
      </c>
      <c r="C110" s="30">
        <v>201710</v>
      </c>
      <c r="D110" s="30">
        <v>10619</v>
      </c>
      <c r="E110" s="30" t="s">
        <v>111</v>
      </c>
      <c r="F110" s="30" t="s">
        <v>153</v>
      </c>
      <c r="G110" s="30" t="s">
        <v>149</v>
      </c>
      <c r="H110" s="30" t="s">
        <v>167</v>
      </c>
      <c r="I110" s="30" t="s">
        <v>176</v>
      </c>
      <c r="J110" s="30">
        <v>12</v>
      </c>
      <c r="K110" s="30">
        <v>13</v>
      </c>
      <c r="L110" s="30">
        <v>13</v>
      </c>
      <c r="M110" s="31">
        <v>0.92308</v>
      </c>
      <c r="N110" s="31">
        <v>1</v>
      </c>
      <c r="O110" s="30">
        <v>3.08</v>
      </c>
      <c r="P110" s="30">
        <v>3.375</v>
      </c>
      <c r="Q110" s="30">
        <v>0.2</v>
      </c>
      <c r="R110" s="30">
        <v>219.38</v>
      </c>
      <c r="S110" s="30">
        <v>1.25</v>
      </c>
    </row>
    <row r="111" spans="1:19">
      <c r="A111" s="26" t="s">
        <v>58</v>
      </c>
      <c r="B111" s="26" t="s">
        <v>22</v>
      </c>
      <c r="C111" s="26">
        <v>201710</v>
      </c>
      <c r="D111" s="26">
        <v>10990</v>
      </c>
      <c r="E111" s="26" t="s">
        <v>111</v>
      </c>
      <c r="F111" s="26" t="s">
        <v>153</v>
      </c>
      <c r="G111" s="26" t="s">
        <v>148</v>
      </c>
      <c r="H111" s="26" t="s">
        <v>167</v>
      </c>
      <c r="I111" s="26" t="s">
        <v>182</v>
      </c>
      <c r="J111" s="26">
        <v>6</v>
      </c>
      <c r="K111" s="26">
        <v>18</v>
      </c>
      <c r="L111" s="26">
        <v>19</v>
      </c>
      <c r="M111" s="32">
        <v>0.31579</v>
      </c>
      <c r="N111" s="32">
        <v>0.94737</v>
      </c>
      <c r="O111" s="26">
        <v>1.16</v>
      </c>
      <c r="P111" s="26">
        <v>3.375</v>
      </c>
      <c r="Q111" s="26">
        <v>0.2</v>
      </c>
      <c r="R111" s="26">
        <v>320.63</v>
      </c>
      <c r="S111" s="26">
        <v>1.83</v>
      </c>
    </row>
    <row r="112" spans="1:19">
      <c r="A112" s="30" t="s">
        <v>1</v>
      </c>
      <c r="B112" s="30" t="s">
        <v>26</v>
      </c>
      <c r="C112" s="30">
        <v>201810</v>
      </c>
      <c r="D112" s="30">
        <v>10990</v>
      </c>
      <c r="E112" s="30" t="s">
        <v>111</v>
      </c>
      <c r="F112" s="30" t="s">
        <v>153</v>
      </c>
      <c r="G112" s="30" t="s">
        <v>148</v>
      </c>
      <c r="H112" s="30" t="s">
        <v>167</v>
      </c>
      <c r="I112" s="30" t="s">
        <v>172</v>
      </c>
      <c r="J112" s="30">
        <v>17</v>
      </c>
      <c r="K112" s="30">
        <v>21</v>
      </c>
      <c r="L112" s="30">
        <v>23</v>
      </c>
      <c r="M112" s="31">
        <v>0.73913</v>
      </c>
      <c r="N112" s="31">
        <v>0.91304</v>
      </c>
      <c r="O112" s="30">
        <v>2.7</v>
      </c>
      <c r="P112" s="30">
        <v>3.375</v>
      </c>
      <c r="Q112" s="30">
        <v>0.2</v>
      </c>
      <c r="R112" s="30">
        <v>388.13</v>
      </c>
      <c r="S112" s="30">
        <v>2.21</v>
      </c>
    </row>
    <row r="113" spans="1:19">
      <c r="A113" s="26" t="s">
        <v>57</v>
      </c>
      <c r="B113" s="26" t="s">
        <v>18</v>
      </c>
      <c r="C113" s="26">
        <v>201610</v>
      </c>
      <c r="D113" s="26">
        <v>10620</v>
      </c>
      <c r="E113" s="26" t="s">
        <v>111</v>
      </c>
      <c r="F113" s="26" t="s">
        <v>154</v>
      </c>
      <c r="G113" s="26" t="s">
        <v>148</v>
      </c>
      <c r="H113" s="26" t="s">
        <v>167</v>
      </c>
      <c r="I113" s="26" t="s">
        <v>171</v>
      </c>
      <c r="J113" s="26">
        <v>20</v>
      </c>
      <c r="K113" s="26">
        <v>29</v>
      </c>
      <c r="L113" s="26">
        <v>35</v>
      </c>
      <c r="M113" s="32">
        <v>0.57143</v>
      </c>
      <c r="N113" s="32">
        <v>0.82857</v>
      </c>
      <c r="O113" s="26">
        <v>2.03</v>
      </c>
      <c r="P113" s="26">
        <v>3.375</v>
      </c>
      <c r="Q113" s="26">
        <v>0.2</v>
      </c>
      <c r="R113" s="26">
        <v>590.63</v>
      </c>
      <c r="S113" s="26">
        <v>3.37</v>
      </c>
    </row>
    <row r="114" spans="1:19">
      <c r="A114" s="30" t="s">
        <v>57</v>
      </c>
      <c r="B114" s="30" t="s">
        <v>18</v>
      </c>
      <c r="C114" s="30">
        <v>201610</v>
      </c>
      <c r="D114" s="30">
        <v>10837</v>
      </c>
      <c r="E114" s="30" t="s">
        <v>111</v>
      </c>
      <c r="F114" s="30" t="s">
        <v>154</v>
      </c>
      <c r="G114" s="30" t="s">
        <v>148</v>
      </c>
      <c r="H114" s="30" t="s">
        <v>167</v>
      </c>
      <c r="I114" s="30" t="s">
        <v>185</v>
      </c>
      <c r="J114" s="30">
        <v>21</v>
      </c>
      <c r="K114" s="30">
        <v>29</v>
      </c>
      <c r="L114" s="30">
        <v>33</v>
      </c>
      <c r="M114" s="31">
        <v>0.63636</v>
      </c>
      <c r="N114" s="31">
        <v>0.87879</v>
      </c>
      <c r="O114" s="30">
        <v>2</v>
      </c>
      <c r="P114" s="30">
        <v>3.375</v>
      </c>
      <c r="Q114" s="30">
        <v>0.2</v>
      </c>
      <c r="R114" s="30">
        <v>556.88</v>
      </c>
      <c r="S114" s="30">
        <v>3.18</v>
      </c>
    </row>
    <row r="115" spans="1:19">
      <c r="A115" s="26" t="s">
        <v>57</v>
      </c>
      <c r="B115" s="26" t="s">
        <v>18</v>
      </c>
      <c r="C115" s="26">
        <v>201610</v>
      </c>
      <c r="D115" s="26">
        <v>10917</v>
      </c>
      <c r="E115" s="26" t="s">
        <v>111</v>
      </c>
      <c r="F115" s="26" t="s">
        <v>154</v>
      </c>
      <c r="G115" s="26" t="s">
        <v>148</v>
      </c>
      <c r="H115" s="26" t="s">
        <v>167</v>
      </c>
      <c r="I115" s="26" t="s">
        <v>182</v>
      </c>
      <c r="J115" s="26">
        <v>12</v>
      </c>
      <c r="K115" s="26">
        <v>12</v>
      </c>
      <c r="L115" s="26">
        <v>16</v>
      </c>
      <c r="M115" s="32">
        <v>0.75</v>
      </c>
      <c r="N115" s="32">
        <v>0.75</v>
      </c>
      <c r="O115" s="26">
        <v>2.63</v>
      </c>
      <c r="P115" s="26">
        <v>3.375</v>
      </c>
      <c r="Q115" s="26">
        <v>0.2</v>
      </c>
      <c r="R115" s="26">
        <v>270</v>
      </c>
      <c r="S115" s="26">
        <v>1.54</v>
      </c>
    </row>
    <row r="116" spans="1:19">
      <c r="A116" s="30" t="s">
        <v>57</v>
      </c>
      <c r="B116" s="30" t="s">
        <v>19</v>
      </c>
      <c r="C116" s="30">
        <v>201615</v>
      </c>
      <c r="D116" s="30">
        <v>15093</v>
      </c>
      <c r="E116" s="30" t="s">
        <v>111</v>
      </c>
      <c r="F116" s="30" t="s">
        <v>154</v>
      </c>
      <c r="G116" s="30" t="s">
        <v>148</v>
      </c>
      <c r="H116" s="30" t="s">
        <v>167</v>
      </c>
      <c r="I116" s="30" t="s">
        <v>185</v>
      </c>
      <c r="J116" s="30">
        <v>24</v>
      </c>
      <c r="K116" s="30">
        <v>26</v>
      </c>
      <c r="L116" s="30">
        <v>29</v>
      </c>
      <c r="M116" s="31">
        <v>0.82759</v>
      </c>
      <c r="N116" s="31">
        <v>0.89655</v>
      </c>
      <c r="O116" s="30">
        <v>2.34</v>
      </c>
      <c r="P116" s="30">
        <v>3.375</v>
      </c>
      <c r="Q116" s="30">
        <v>0.2</v>
      </c>
      <c r="R116" s="30">
        <v>489.38</v>
      </c>
      <c r="S116" s="30">
        <v>2.83</v>
      </c>
    </row>
    <row r="117" spans="1:19">
      <c r="A117" s="26" t="s">
        <v>57</v>
      </c>
      <c r="B117" s="26" t="s">
        <v>20</v>
      </c>
      <c r="C117" s="26">
        <v>201620</v>
      </c>
      <c r="D117" s="26">
        <v>20616</v>
      </c>
      <c r="E117" s="26" t="s">
        <v>111</v>
      </c>
      <c r="F117" s="26" t="s">
        <v>154</v>
      </c>
      <c r="G117" s="26" t="s">
        <v>148</v>
      </c>
      <c r="H117" s="26" t="s">
        <v>167</v>
      </c>
      <c r="I117" s="26" t="s">
        <v>171</v>
      </c>
      <c r="J117" s="26">
        <v>44</v>
      </c>
      <c r="K117" s="26">
        <v>47</v>
      </c>
      <c r="L117" s="26">
        <v>47</v>
      </c>
      <c r="M117" s="32">
        <v>0.93617</v>
      </c>
      <c r="N117" s="32">
        <v>1</v>
      </c>
      <c r="O117" s="26">
        <v>3.38</v>
      </c>
      <c r="P117" s="26">
        <v>3.375</v>
      </c>
      <c r="Q117" s="26">
        <v>0.27</v>
      </c>
      <c r="R117" s="26">
        <v>587.5</v>
      </c>
      <c r="S117" s="26">
        <v>4.53</v>
      </c>
    </row>
    <row r="118" spans="1:19">
      <c r="A118" s="30" t="s">
        <v>57</v>
      </c>
      <c r="B118" s="30" t="s">
        <v>20</v>
      </c>
      <c r="C118" s="30">
        <v>201620</v>
      </c>
      <c r="D118" s="30">
        <v>20895</v>
      </c>
      <c r="E118" s="30" t="s">
        <v>111</v>
      </c>
      <c r="F118" s="30" t="s">
        <v>154</v>
      </c>
      <c r="G118" s="30" t="s">
        <v>148</v>
      </c>
      <c r="H118" s="30" t="s">
        <v>167</v>
      </c>
      <c r="I118" s="30" t="s">
        <v>185</v>
      </c>
      <c r="J118" s="30">
        <v>20</v>
      </c>
      <c r="K118" s="30">
        <v>27</v>
      </c>
      <c r="L118" s="30">
        <v>33</v>
      </c>
      <c r="M118" s="31">
        <v>0.60606</v>
      </c>
      <c r="N118" s="31">
        <v>0.81818</v>
      </c>
      <c r="O118" s="30">
        <v>1.88</v>
      </c>
      <c r="P118" s="30">
        <v>3.375</v>
      </c>
      <c r="Q118" s="30">
        <v>0.2</v>
      </c>
      <c r="R118" s="30">
        <v>556.88</v>
      </c>
      <c r="S118" s="30">
        <v>3.18</v>
      </c>
    </row>
    <row r="119" spans="1:19">
      <c r="A119" s="26" t="s">
        <v>57</v>
      </c>
      <c r="B119" s="26" t="s">
        <v>21</v>
      </c>
      <c r="C119" s="26">
        <v>201630</v>
      </c>
      <c r="D119" s="26">
        <v>30065</v>
      </c>
      <c r="E119" s="26" t="s">
        <v>111</v>
      </c>
      <c r="F119" s="26" t="s">
        <v>154</v>
      </c>
      <c r="G119" s="26" t="s">
        <v>148</v>
      </c>
      <c r="H119" s="26" t="s">
        <v>167</v>
      </c>
      <c r="I119" s="26" t="s">
        <v>185</v>
      </c>
      <c r="J119" s="26">
        <v>23</v>
      </c>
      <c r="K119" s="26">
        <v>28</v>
      </c>
      <c r="L119" s="26">
        <v>31</v>
      </c>
      <c r="M119" s="32">
        <v>0.74194</v>
      </c>
      <c r="N119" s="32">
        <v>0.90323</v>
      </c>
      <c r="O119" s="26">
        <v>2.26</v>
      </c>
      <c r="P119" s="26">
        <v>3.375</v>
      </c>
      <c r="Q119" s="26">
        <v>0.2</v>
      </c>
      <c r="R119" s="26">
        <v>523.13</v>
      </c>
      <c r="S119" s="26">
        <v>3.03</v>
      </c>
    </row>
    <row r="120" spans="1:19">
      <c r="A120" s="30" t="s">
        <v>58</v>
      </c>
      <c r="B120" s="30" t="s">
        <v>22</v>
      </c>
      <c r="C120" s="30">
        <v>201710</v>
      </c>
      <c r="D120" s="30">
        <v>10620</v>
      </c>
      <c r="E120" s="30" t="s">
        <v>111</v>
      </c>
      <c r="F120" s="30" t="s">
        <v>154</v>
      </c>
      <c r="G120" s="30" t="s">
        <v>148</v>
      </c>
      <c r="H120" s="30" t="s">
        <v>167</v>
      </c>
      <c r="I120" s="30" t="s">
        <v>171</v>
      </c>
      <c r="J120" s="30">
        <v>36</v>
      </c>
      <c r="K120" s="30">
        <v>40</v>
      </c>
      <c r="L120" s="30">
        <v>41</v>
      </c>
      <c r="M120" s="31">
        <v>0.87805</v>
      </c>
      <c r="N120" s="31">
        <v>0.97561</v>
      </c>
      <c r="O120" s="30">
        <v>3.32</v>
      </c>
      <c r="P120" s="30">
        <v>3.375</v>
      </c>
      <c r="Q120" s="30">
        <v>0.2</v>
      </c>
      <c r="R120" s="30">
        <v>691.88</v>
      </c>
      <c r="S120" s="30">
        <v>3.95</v>
      </c>
    </row>
    <row r="121" spans="1:19">
      <c r="A121" s="26" t="s">
        <v>58</v>
      </c>
      <c r="B121" s="26" t="s">
        <v>22</v>
      </c>
      <c r="C121" s="26">
        <v>201710</v>
      </c>
      <c r="D121" s="26">
        <v>10837</v>
      </c>
      <c r="E121" s="26" t="s">
        <v>111</v>
      </c>
      <c r="F121" s="26" t="s">
        <v>154</v>
      </c>
      <c r="G121" s="26" t="s">
        <v>148</v>
      </c>
      <c r="H121" s="26" t="s">
        <v>167</v>
      </c>
      <c r="I121" s="26" t="s">
        <v>185</v>
      </c>
      <c r="J121" s="26">
        <v>20</v>
      </c>
      <c r="K121" s="26">
        <v>22</v>
      </c>
      <c r="L121" s="26">
        <v>27</v>
      </c>
      <c r="M121" s="32">
        <v>0.74074</v>
      </c>
      <c r="N121" s="32">
        <v>0.81481</v>
      </c>
      <c r="O121" s="26">
        <v>2.41</v>
      </c>
      <c r="P121" s="26">
        <v>3.375</v>
      </c>
      <c r="Q121" s="26">
        <v>0.2</v>
      </c>
      <c r="R121" s="26">
        <v>455.63</v>
      </c>
      <c r="S121" s="26">
        <v>2.6</v>
      </c>
    </row>
    <row r="122" spans="1:19">
      <c r="A122" s="30" t="s">
        <v>58</v>
      </c>
      <c r="B122" s="30" t="s">
        <v>22</v>
      </c>
      <c r="C122" s="30">
        <v>201710</v>
      </c>
      <c r="D122" s="30">
        <v>10917</v>
      </c>
      <c r="E122" s="30" t="s">
        <v>111</v>
      </c>
      <c r="F122" s="30" t="s">
        <v>154</v>
      </c>
      <c r="G122" s="30" t="s">
        <v>149</v>
      </c>
      <c r="H122" s="30" t="s">
        <v>167</v>
      </c>
      <c r="I122" s="30" t="s">
        <v>185</v>
      </c>
      <c r="J122" s="30">
        <v>16</v>
      </c>
      <c r="K122" s="30">
        <v>25</v>
      </c>
      <c r="L122" s="30">
        <v>27</v>
      </c>
      <c r="M122" s="31">
        <v>0.59259</v>
      </c>
      <c r="N122" s="31">
        <v>0.92593</v>
      </c>
      <c r="O122" s="30">
        <v>1.89</v>
      </c>
      <c r="P122" s="30">
        <v>3.375</v>
      </c>
      <c r="Q122" s="30">
        <v>0.2</v>
      </c>
      <c r="R122" s="30">
        <v>455.63</v>
      </c>
      <c r="S122" s="30">
        <v>2.6</v>
      </c>
    </row>
    <row r="123" spans="1:19">
      <c r="A123" s="26" t="s">
        <v>58</v>
      </c>
      <c r="B123" s="26" t="s">
        <v>23</v>
      </c>
      <c r="C123" s="26">
        <v>201715</v>
      </c>
      <c r="D123" s="26">
        <v>15093</v>
      </c>
      <c r="E123" s="26" t="s">
        <v>111</v>
      </c>
      <c r="F123" s="26" t="s">
        <v>154</v>
      </c>
      <c r="G123" s="26" t="s">
        <v>148</v>
      </c>
      <c r="H123" s="26" t="s">
        <v>167</v>
      </c>
      <c r="I123" s="26" t="s">
        <v>185</v>
      </c>
      <c r="J123" s="26">
        <v>21</v>
      </c>
      <c r="K123" s="26">
        <v>21</v>
      </c>
      <c r="L123" s="26">
        <v>21</v>
      </c>
      <c r="M123" s="32">
        <v>1</v>
      </c>
      <c r="N123" s="32">
        <v>1</v>
      </c>
      <c r="O123" s="26">
        <v>2.95</v>
      </c>
      <c r="P123" s="26">
        <v>3.375</v>
      </c>
      <c r="Q123" s="26">
        <v>0.2</v>
      </c>
      <c r="R123" s="26">
        <v>354.38</v>
      </c>
      <c r="S123" s="26">
        <v>2.05</v>
      </c>
    </row>
    <row r="124" spans="1:19">
      <c r="A124" s="30" t="s">
        <v>58</v>
      </c>
      <c r="B124" s="30" t="s">
        <v>24</v>
      </c>
      <c r="C124" s="30">
        <v>201720</v>
      </c>
      <c r="D124" s="30">
        <v>20616</v>
      </c>
      <c r="E124" s="30" t="s">
        <v>111</v>
      </c>
      <c r="F124" s="30" t="s">
        <v>154</v>
      </c>
      <c r="G124" s="30" t="s">
        <v>148</v>
      </c>
      <c r="H124" s="30" t="s">
        <v>167</v>
      </c>
      <c r="I124" s="30" t="s">
        <v>171</v>
      </c>
      <c r="J124" s="30">
        <v>43</v>
      </c>
      <c r="K124" s="30">
        <v>49</v>
      </c>
      <c r="L124" s="30">
        <v>49</v>
      </c>
      <c r="M124" s="31">
        <v>0.87755</v>
      </c>
      <c r="N124" s="31">
        <v>1</v>
      </c>
      <c r="O124" s="30">
        <v>3.16</v>
      </c>
      <c r="P124" s="30">
        <v>3.375</v>
      </c>
      <c r="Q124" s="30">
        <v>0.27</v>
      </c>
      <c r="R124" s="30">
        <v>612.5</v>
      </c>
      <c r="S124" s="30">
        <v>4.72</v>
      </c>
    </row>
    <row r="125" spans="1:19">
      <c r="A125" s="26" t="s">
        <v>58</v>
      </c>
      <c r="B125" s="26" t="s">
        <v>24</v>
      </c>
      <c r="C125" s="26">
        <v>201720</v>
      </c>
      <c r="D125" s="26">
        <v>20895</v>
      </c>
      <c r="E125" s="26" t="s">
        <v>111</v>
      </c>
      <c r="F125" s="26" t="s">
        <v>154</v>
      </c>
      <c r="G125" s="26" t="s">
        <v>148</v>
      </c>
      <c r="H125" s="26" t="s">
        <v>167</v>
      </c>
      <c r="I125" s="26" t="s">
        <v>185</v>
      </c>
      <c r="J125" s="26">
        <v>18</v>
      </c>
      <c r="K125" s="26">
        <v>23</v>
      </c>
      <c r="L125" s="26">
        <v>23</v>
      </c>
      <c r="M125" s="32">
        <v>0.78261</v>
      </c>
      <c r="N125" s="32">
        <v>1</v>
      </c>
      <c r="O125" s="26">
        <v>2.3</v>
      </c>
      <c r="P125" s="26">
        <v>3.375</v>
      </c>
      <c r="Q125" s="26">
        <v>0.2</v>
      </c>
      <c r="R125" s="26">
        <v>388.13</v>
      </c>
      <c r="S125" s="26">
        <v>2.21</v>
      </c>
    </row>
    <row r="126" spans="1:19">
      <c r="A126" s="30" t="s">
        <v>58</v>
      </c>
      <c r="B126" s="30" t="s">
        <v>24</v>
      </c>
      <c r="C126" s="30">
        <v>201720</v>
      </c>
      <c r="D126" s="30">
        <v>21152</v>
      </c>
      <c r="E126" s="30" t="s">
        <v>111</v>
      </c>
      <c r="F126" s="30" t="s">
        <v>154</v>
      </c>
      <c r="G126" s="30" t="s">
        <v>149</v>
      </c>
      <c r="H126" s="30" t="s">
        <v>167</v>
      </c>
      <c r="I126" s="30" t="s">
        <v>182</v>
      </c>
      <c r="J126" s="30">
        <v>14</v>
      </c>
      <c r="K126" s="30">
        <v>25</v>
      </c>
      <c r="L126" s="30">
        <v>30</v>
      </c>
      <c r="M126" s="31">
        <v>0.46667</v>
      </c>
      <c r="N126" s="31">
        <v>0.83333</v>
      </c>
      <c r="O126" s="30">
        <v>1.5</v>
      </c>
      <c r="P126" s="30">
        <v>3.375</v>
      </c>
      <c r="Q126" s="30">
        <v>0.2</v>
      </c>
      <c r="R126" s="30">
        <v>506.25</v>
      </c>
      <c r="S126" s="30">
        <v>2.89</v>
      </c>
    </row>
    <row r="127" spans="1:19">
      <c r="A127" s="26" t="s">
        <v>58</v>
      </c>
      <c r="B127" s="26" t="s">
        <v>25</v>
      </c>
      <c r="C127" s="26">
        <v>201730</v>
      </c>
      <c r="D127" s="26">
        <v>30065</v>
      </c>
      <c r="E127" s="26" t="s">
        <v>111</v>
      </c>
      <c r="F127" s="26" t="s">
        <v>154</v>
      </c>
      <c r="G127" s="26" t="s">
        <v>148</v>
      </c>
      <c r="H127" s="26" t="s">
        <v>167</v>
      </c>
      <c r="I127" s="26" t="s">
        <v>185</v>
      </c>
      <c r="J127" s="26">
        <v>26</v>
      </c>
      <c r="K127" s="26">
        <v>30</v>
      </c>
      <c r="L127" s="26">
        <v>30</v>
      </c>
      <c r="M127" s="32">
        <v>0.86667</v>
      </c>
      <c r="N127" s="32">
        <v>1</v>
      </c>
      <c r="O127" s="26">
        <v>2.8</v>
      </c>
      <c r="P127" s="26">
        <v>3.375</v>
      </c>
      <c r="Q127" s="26">
        <v>0.2</v>
      </c>
      <c r="R127" s="26">
        <v>506.25</v>
      </c>
      <c r="S127" s="26">
        <v>2.93</v>
      </c>
    </row>
    <row r="128" spans="1:19">
      <c r="A128" s="30" t="s">
        <v>1</v>
      </c>
      <c r="B128" s="30" t="s">
        <v>26</v>
      </c>
      <c r="C128" s="30">
        <v>201810</v>
      </c>
      <c r="D128" s="30">
        <v>10620</v>
      </c>
      <c r="E128" s="30" t="s">
        <v>111</v>
      </c>
      <c r="F128" s="30" t="s">
        <v>154</v>
      </c>
      <c r="G128" s="30" t="s">
        <v>148</v>
      </c>
      <c r="H128" s="30" t="s">
        <v>167</v>
      </c>
      <c r="I128" s="30" t="s">
        <v>171</v>
      </c>
      <c r="J128" s="30">
        <v>41</v>
      </c>
      <c r="K128" s="30">
        <v>43</v>
      </c>
      <c r="L128" s="30">
        <v>45</v>
      </c>
      <c r="M128" s="31">
        <v>0.91111</v>
      </c>
      <c r="N128" s="31">
        <v>0.95556</v>
      </c>
      <c r="O128" s="30">
        <v>3.16</v>
      </c>
      <c r="P128" s="30">
        <v>3.375</v>
      </c>
      <c r="Q128" s="30">
        <v>0.2</v>
      </c>
      <c r="R128" s="30">
        <v>759.38</v>
      </c>
      <c r="S128" s="30">
        <v>4.33</v>
      </c>
    </row>
    <row r="129" spans="1:19">
      <c r="A129" s="26" t="s">
        <v>1</v>
      </c>
      <c r="B129" s="26" t="s">
        <v>26</v>
      </c>
      <c r="C129" s="26">
        <v>201810</v>
      </c>
      <c r="D129" s="26">
        <v>10837</v>
      </c>
      <c r="E129" s="26" t="s">
        <v>111</v>
      </c>
      <c r="F129" s="26" t="s">
        <v>154</v>
      </c>
      <c r="G129" s="26" t="s">
        <v>148</v>
      </c>
      <c r="H129" s="26" t="s">
        <v>167</v>
      </c>
      <c r="I129" s="26" t="s">
        <v>185</v>
      </c>
      <c r="J129" s="26">
        <v>17</v>
      </c>
      <c r="K129" s="26">
        <v>21</v>
      </c>
      <c r="L129" s="26">
        <v>22</v>
      </c>
      <c r="M129" s="32">
        <v>0.77273</v>
      </c>
      <c r="N129" s="32">
        <v>0.95455</v>
      </c>
      <c r="O129" s="26">
        <v>2.23</v>
      </c>
      <c r="P129" s="26">
        <v>3.375</v>
      </c>
      <c r="Q129" s="26">
        <v>0.2</v>
      </c>
      <c r="R129" s="26">
        <v>371.25</v>
      </c>
      <c r="S129" s="26">
        <v>2.12</v>
      </c>
    </row>
    <row r="130" spans="1:19">
      <c r="A130" s="30" t="s">
        <v>1</v>
      </c>
      <c r="B130" s="30" t="s">
        <v>26</v>
      </c>
      <c r="C130" s="30">
        <v>201810</v>
      </c>
      <c r="D130" s="30">
        <v>11281</v>
      </c>
      <c r="E130" s="30" t="s">
        <v>111</v>
      </c>
      <c r="F130" s="30" t="s">
        <v>154</v>
      </c>
      <c r="G130" s="30" t="s">
        <v>148</v>
      </c>
      <c r="H130" s="30" t="s">
        <v>167</v>
      </c>
      <c r="I130" s="30" t="s">
        <v>182</v>
      </c>
      <c r="J130" s="30">
        <v>22</v>
      </c>
      <c r="K130" s="30">
        <v>25</v>
      </c>
      <c r="L130" s="30">
        <v>25</v>
      </c>
      <c r="M130" s="31">
        <v>0.88</v>
      </c>
      <c r="N130" s="31">
        <v>1</v>
      </c>
      <c r="O130" s="30">
        <v>2.12</v>
      </c>
      <c r="P130" s="30">
        <v>3.375</v>
      </c>
      <c r="Q130" s="30">
        <v>0.2</v>
      </c>
      <c r="R130" s="30">
        <v>421.88</v>
      </c>
      <c r="S130" s="30">
        <v>2.41</v>
      </c>
    </row>
    <row r="131" spans="1:19">
      <c r="A131" s="26" t="s">
        <v>1</v>
      </c>
      <c r="B131" s="26" t="s">
        <v>26</v>
      </c>
      <c r="C131" s="26">
        <v>201810</v>
      </c>
      <c r="D131" s="26">
        <v>11282</v>
      </c>
      <c r="E131" s="26" t="s">
        <v>111</v>
      </c>
      <c r="F131" s="26" t="s">
        <v>154</v>
      </c>
      <c r="G131" s="26" t="s">
        <v>148</v>
      </c>
      <c r="H131" s="26" t="s">
        <v>167</v>
      </c>
      <c r="I131" s="26" t="s">
        <v>182</v>
      </c>
      <c r="J131" s="26">
        <v>21</v>
      </c>
      <c r="K131" s="26">
        <v>22</v>
      </c>
      <c r="L131" s="26">
        <v>23</v>
      </c>
      <c r="M131" s="32">
        <v>0.91304</v>
      </c>
      <c r="N131" s="32">
        <v>0.95652</v>
      </c>
      <c r="O131" s="26">
        <v>2.7</v>
      </c>
      <c r="P131" s="26">
        <v>3.375</v>
      </c>
      <c r="Q131" s="26">
        <v>0.2</v>
      </c>
      <c r="R131" s="26">
        <v>388.13</v>
      </c>
      <c r="S131" s="26">
        <v>2.21</v>
      </c>
    </row>
    <row r="132" spans="1:19">
      <c r="A132" s="30" t="s">
        <v>1</v>
      </c>
      <c r="B132" s="30" t="s">
        <v>26</v>
      </c>
      <c r="C132" s="30">
        <v>201810</v>
      </c>
      <c r="D132" s="30">
        <v>11288</v>
      </c>
      <c r="E132" s="30" t="s">
        <v>111</v>
      </c>
      <c r="F132" s="30" t="s">
        <v>154</v>
      </c>
      <c r="G132" s="30" t="s">
        <v>148</v>
      </c>
      <c r="H132" s="30" t="s">
        <v>167</v>
      </c>
      <c r="I132" s="30" t="s">
        <v>184</v>
      </c>
      <c r="J132" s="30">
        <v>26</v>
      </c>
      <c r="K132" s="30">
        <v>26</v>
      </c>
      <c r="L132" s="30">
        <v>26</v>
      </c>
      <c r="M132" s="31">
        <v>1</v>
      </c>
      <c r="N132" s="31">
        <v>1</v>
      </c>
      <c r="O132" s="30">
        <v>3.92</v>
      </c>
      <c r="P132" s="30">
        <v>3.375</v>
      </c>
      <c r="Q132" s="30">
        <v>0.2</v>
      </c>
      <c r="R132" s="30">
        <v>438.75</v>
      </c>
      <c r="S132" s="30">
        <v>2.5</v>
      </c>
    </row>
    <row r="133" spans="1:19">
      <c r="A133" s="26" t="s">
        <v>1</v>
      </c>
      <c r="B133" s="26" t="s">
        <v>27</v>
      </c>
      <c r="C133" s="26">
        <v>201815</v>
      </c>
      <c r="D133" s="26">
        <v>15093</v>
      </c>
      <c r="E133" s="26" t="s">
        <v>111</v>
      </c>
      <c r="F133" s="26" t="s">
        <v>154</v>
      </c>
      <c r="G133" s="26" t="s">
        <v>148</v>
      </c>
      <c r="H133" s="26" t="s">
        <v>167</v>
      </c>
      <c r="I133" s="26" t="s">
        <v>185</v>
      </c>
      <c r="J133" s="26">
        <v>23</v>
      </c>
      <c r="K133" s="26">
        <v>25</v>
      </c>
      <c r="L133" s="26">
        <v>28</v>
      </c>
      <c r="M133" s="32">
        <v>0.82143</v>
      </c>
      <c r="N133" s="32">
        <v>0.89286</v>
      </c>
      <c r="O133" s="26">
        <v>2.79</v>
      </c>
      <c r="P133" s="26">
        <v>3.375</v>
      </c>
      <c r="Q133" s="26">
        <v>0.2</v>
      </c>
      <c r="R133" s="26">
        <v>472.5</v>
      </c>
      <c r="S133" s="26">
        <v>2.74</v>
      </c>
    </row>
    <row r="134" spans="1:19">
      <c r="A134" s="30" t="s">
        <v>1</v>
      </c>
      <c r="B134" s="30" t="s">
        <v>28</v>
      </c>
      <c r="C134" s="30">
        <v>201820</v>
      </c>
      <c r="D134" s="30">
        <v>20616</v>
      </c>
      <c r="E134" s="30" t="s">
        <v>111</v>
      </c>
      <c r="F134" s="30" t="s">
        <v>154</v>
      </c>
      <c r="G134" s="30" t="s">
        <v>148</v>
      </c>
      <c r="H134" s="30" t="s">
        <v>167</v>
      </c>
      <c r="I134" s="30" t="s">
        <v>171</v>
      </c>
      <c r="J134" s="30">
        <v>50</v>
      </c>
      <c r="K134" s="30">
        <v>52</v>
      </c>
      <c r="L134" s="30">
        <v>53</v>
      </c>
      <c r="M134" s="31">
        <v>0.9434</v>
      </c>
      <c r="N134" s="31">
        <v>0.98113</v>
      </c>
      <c r="O134" s="30">
        <v>3.38</v>
      </c>
      <c r="P134" s="30">
        <v>3.375</v>
      </c>
      <c r="Q134" s="30">
        <v>0.2</v>
      </c>
      <c r="R134" s="30">
        <v>894.38</v>
      </c>
      <c r="S134" s="30">
        <v>5.1</v>
      </c>
    </row>
    <row r="135" spans="1:19">
      <c r="A135" s="26" t="s">
        <v>1</v>
      </c>
      <c r="B135" s="26" t="s">
        <v>28</v>
      </c>
      <c r="C135" s="26">
        <v>201820</v>
      </c>
      <c r="D135" s="26">
        <v>20895</v>
      </c>
      <c r="E135" s="26" t="s">
        <v>111</v>
      </c>
      <c r="F135" s="26" t="s">
        <v>154</v>
      </c>
      <c r="G135" s="26" t="s">
        <v>149</v>
      </c>
      <c r="H135" s="26" t="s">
        <v>167</v>
      </c>
      <c r="I135" s="26" t="s">
        <v>185</v>
      </c>
      <c r="J135" s="26">
        <v>25</v>
      </c>
      <c r="K135" s="26">
        <v>27</v>
      </c>
      <c r="L135" s="26">
        <v>33</v>
      </c>
      <c r="M135" s="32">
        <v>0.75758</v>
      </c>
      <c r="N135" s="32">
        <v>0.81818</v>
      </c>
      <c r="O135" s="26">
        <v>2.55</v>
      </c>
      <c r="P135" s="26">
        <v>3.375</v>
      </c>
      <c r="Q135" s="26">
        <v>0.2</v>
      </c>
      <c r="R135" s="26">
        <v>556.88</v>
      </c>
      <c r="S135" s="26">
        <v>3.18</v>
      </c>
    </row>
    <row r="136" spans="1:19">
      <c r="A136" s="30" t="s">
        <v>1</v>
      </c>
      <c r="B136" s="30" t="s">
        <v>28</v>
      </c>
      <c r="C136" s="30">
        <v>201820</v>
      </c>
      <c r="D136" s="30">
        <v>21264</v>
      </c>
      <c r="E136" s="30" t="s">
        <v>111</v>
      </c>
      <c r="F136" s="30" t="s">
        <v>154</v>
      </c>
      <c r="G136" s="30" t="s">
        <v>148</v>
      </c>
      <c r="H136" s="30" t="s">
        <v>167</v>
      </c>
      <c r="I136" s="30" t="s">
        <v>184</v>
      </c>
      <c r="J136" s="30">
        <v>21</v>
      </c>
      <c r="K136" s="30">
        <v>21</v>
      </c>
      <c r="L136" s="30">
        <v>21</v>
      </c>
      <c r="M136" s="31">
        <v>1</v>
      </c>
      <c r="N136" s="31">
        <v>1</v>
      </c>
      <c r="O136" s="30">
        <v>4</v>
      </c>
      <c r="P136" s="30">
        <v>3.375</v>
      </c>
      <c r="Q136" s="30">
        <v>0.2</v>
      </c>
      <c r="R136" s="30">
        <v>354.38</v>
      </c>
      <c r="S136" s="30">
        <v>2.02</v>
      </c>
    </row>
    <row r="137" spans="1:19">
      <c r="A137" s="26" t="s">
        <v>1</v>
      </c>
      <c r="B137" s="26" t="s">
        <v>28</v>
      </c>
      <c r="C137" s="26">
        <v>201820</v>
      </c>
      <c r="D137" s="26">
        <v>21265</v>
      </c>
      <c r="E137" s="26" t="s">
        <v>111</v>
      </c>
      <c r="F137" s="26" t="s">
        <v>154</v>
      </c>
      <c r="G137" s="26" t="s">
        <v>148</v>
      </c>
      <c r="H137" s="26" t="s">
        <v>167</v>
      </c>
      <c r="I137" s="26" t="s">
        <v>184</v>
      </c>
      <c r="J137" s="26">
        <v>20</v>
      </c>
      <c r="K137" s="26">
        <v>20</v>
      </c>
      <c r="L137" s="26">
        <v>21</v>
      </c>
      <c r="M137" s="32">
        <v>0.95238</v>
      </c>
      <c r="N137" s="32">
        <v>0.95238</v>
      </c>
      <c r="O137" s="26">
        <v>3.81</v>
      </c>
      <c r="P137" s="26">
        <v>3.375</v>
      </c>
      <c r="Q137" s="26">
        <v>0.2</v>
      </c>
      <c r="R137" s="26">
        <v>354.38</v>
      </c>
      <c r="S137" s="26">
        <v>2.02</v>
      </c>
    </row>
    <row r="138" spans="1:19">
      <c r="A138" s="30" t="s">
        <v>1</v>
      </c>
      <c r="B138" s="30" t="s">
        <v>28</v>
      </c>
      <c r="C138" s="30">
        <v>201820</v>
      </c>
      <c r="D138" s="30">
        <v>21269</v>
      </c>
      <c r="E138" s="30" t="s">
        <v>111</v>
      </c>
      <c r="F138" s="30" t="s">
        <v>154</v>
      </c>
      <c r="G138" s="30" t="s">
        <v>148</v>
      </c>
      <c r="H138" s="30" t="s">
        <v>167</v>
      </c>
      <c r="I138" s="30" t="s">
        <v>184</v>
      </c>
      <c r="J138" s="30">
        <v>20</v>
      </c>
      <c r="K138" s="30">
        <v>20</v>
      </c>
      <c r="L138" s="30">
        <v>21</v>
      </c>
      <c r="M138" s="31">
        <v>0.95238</v>
      </c>
      <c r="N138" s="31">
        <v>0.95238</v>
      </c>
      <c r="O138" s="30">
        <v>3.81</v>
      </c>
      <c r="P138" s="30">
        <v>3.375</v>
      </c>
      <c r="Q138" s="30">
        <v>0.2</v>
      </c>
      <c r="R138" s="30">
        <v>354.38</v>
      </c>
      <c r="S138" s="30">
        <v>2.02</v>
      </c>
    </row>
    <row r="139" spans="1:19">
      <c r="A139" s="26" t="s">
        <v>1</v>
      </c>
      <c r="B139" s="26" t="s">
        <v>29</v>
      </c>
      <c r="C139" s="26">
        <v>201830</v>
      </c>
      <c r="D139" s="26">
        <v>30065</v>
      </c>
      <c r="E139" s="26" t="s">
        <v>111</v>
      </c>
      <c r="F139" s="26" t="s">
        <v>154</v>
      </c>
      <c r="G139" s="26" t="s">
        <v>148</v>
      </c>
      <c r="H139" s="26" t="s">
        <v>167</v>
      </c>
      <c r="I139" s="26" t="s">
        <v>172</v>
      </c>
      <c r="J139" s="26">
        <v>37</v>
      </c>
      <c r="K139" s="26">
        <v>37</v>
      </c>
      <c r="L139" s="26">
        <v>38</v>
      </c>
      <c r="M139" s="32">
        <v>0.97368</v>
      </c>
      <c r="N139" s="32">
        <v>0.97368</v>
      </c>
      <c r="O139" s="26">
        <v>3.82</v>
      </c>
      <c r="P139" s="26">
        <v>3.375</v>
      </c>
      <c r="Q139" s="26">
        <v>0.2</v>
      </c>
      <c r="R139" s="26">
        <v>641.25</v>
      </c>
      <c r="S139" s="26">
        <v>3.71</v>
      </c>
    </row>
    <row r="140" spans="1:19">
      <c r="A140" s="30" t="s">
        <v>57</v>
      </c>
      <c r="B140" s="30" t="s">
        <v>18</v>
      </c>
      <c r="C140" s="30">
        <v>201610</v>
      </c>
      <c r="D140" s="30">
        <v>10621</v>
      </c>
      <c r="E140" s="30" t="s">
        <v>111</v>
      </c>
      <c r="F140" s="30" t="s">
        <v>155</v>
      </c>
      <c r="G140" s="30" t="s">
        <v>148</v>
      </c>
      <c r="H140" s="30" t="s">
        <v>167</v>
      </c>
      <c r="I140" s="30" t="s">
        <v>185</v>
      </c>
      <c r="J140" s="30">
        <v>33</v>
      </c>
      <c r="K140" s="30">
        <v>39</v>
      </c>
      <c r="L140" s="30">
        <v>43</v>
      </c>
      <c r="M140" s="31">
        <v>0.76744</v>
      </c>
      <c r="N140" s="31">
        <v>0.90698</v>
      </c>
      <c r="O140" s="30">
        <v>2.26</v>
      </c>
      <c r="P140" s="30">
        <v>3.375</v>
      </c>
      <c r="Q140" s="30">
        <v>0.2</v>
      </c>
      <c r="R140" s="30">
        <v>725.63</v>
      </c>
      <c r="S140" s="30">
        <v>4.14</v>
      </c>
    </row>
    <row r="141" spans="1:19">
      <c r="A141" s="26" t="s">
        <v>57</v>
      </c>
      <c r="B141" s="26" t="s">
        <v>18</v>
      </c>
      <c r="C141" s="26">
        <v>201610</v>
      </c>
      <c r="D141" s="26">
        <v>10918</v>
      </c>
      <c r="E141" s="26" t="s">
        <v>111</v>
      </c>
      <c r="F141" s="26" t="s">
        <v>155</v>
      </c>
      <c r="G141" s="26" t="s">
        <v>148</v>
      </c>
      <c r="H141" s="26" t="s">
        <v>167</v>
      </c>
      <c r="I141" s="26" t="s">
        <v>171</v>
      </c>
      <c r="J141" s="26">
        <v>31</v>
      </c>
      <c r="K141" s="26">
        <v>35</v>
      </c>
      <c r="L141" s="26">
        <v>36</v>
      </c>
      <c r="M141" s="32">
        <v>0.86111</v>
      </c>
      <c r="N141" s="32">
        <v>0.97222</v>
      </c>
      <c r="O141" s="26">
        <v>3.17</v>
      </c>
      <c r="P141" s="26">
        <v>3.375</v>
      </c>
      <c r="Q141" s="26">
        <v>0.2</v>
      </c>
      <c r="R141" s="26">
        <v>607.5</v>
      </c>
      <c r="S141" s="26">
        <v>3.47</v>
      </c>
    </row>
    <row r="142" spans="1:19">
      <c r="A142" s="30" t="s">
        <v>57</v>
      </c>
      <c r="B142" s="30" t="s">
        <v>20</v>
      </c>
      <c r="C142" s="30">
        <v>201620</v>
      </c>
      <c r="D142" s="30">
        <v>20617</v>
      </c>
      <c r="E142" s="30" t="s">
        <v>111</v>
      </c>
      <c r="F142" s="30" t="s">
        <v>155</v>
      </c>
      <c r="G142" s="30" t="s">
        <v>148</v>
      </c>
      <c r="H142" s="30" t="s">
        <v>167</v>
      </c>
      <c r="I142" s="30" t="s">
        <v>185</v>
      </c>
      <c r="J142" s="30">
        <v>31</v>
      </c>
      <c r="K142" s="30">
        <v>40</v>
      </c>
      <c r="L142" s="30">
        <v>43</v>
      </c>
      <c r="M142" s="31">
        <v>0.72093</v>
      </c>
      <c r="N142" s="31">
        <v>0.93023</v>
      </c>
      <c r="O142" s="30">
        <v>2.37</v>
      </c>
      <c r="P142" s="30">
        <v>3.375</v>
      </c>
      <c r="Q142" s="30">
        <v>0.2</v>
      </c>
      <c r="R142" s="30">
        <v>725.63</v>
      </c>
      <c r="S142" s="30">
        <v>4.14</v>
      </c>
    </row>
    <row r="143" spans="1:19">
      <c r="A143" s="26" t="s">
        <v>57</v>
      </c>
      <c r="B143" s="26" t="s">
        <v>20</v>
      </c>
      <c r="C143" s="26">
        <v>201620</v>
      </c>
      <c r="D143" s="26">
        <v>21015</v>
      </c>
      <c r="E143" s="26" t="s">
        <v>111</v>
      </c>
      <c r="F143" s="26" t="s">
        <v>155</v>
      </c>
      <c r="G143" s="26" t="s">
        <v>148</v>
      </c>
      <c r="H143" s="26" t="s">
        <v>167</v>
      </c>
      <c r="I143" s="26" t="s">
        <v>182</v>
      </c>
      <c r="J143" s="26">
        <v>21</v>
      </c>
      <c r="K143" s="26">
        <v>25</v>
      </c>
      <c r="L143" s="26">
        <v>28</v>
      </c>
      <c r="M143" s="32">
        <v>0.75</v>
      </c>
      <c r="N143" s="32">
        <v>0.89286</v>
      </c>
      <c r="O143" s="26">
        <v>2</v>
      </c>
      <c r="P143" s="26">
        <v>3.375</v>
      </c>
      <c r="Q143" s="26">
        <v>0.2</v>
      </c>
      <c r="R143" s="26">
        <v>472.5</v>
      </c>
      <c r="S143" s="26">
        <v>2.7</v>
      </c>
    </row>
    <row r="144" spans="1:19">
      <c r="A144" s="30" t="s">
        <v>58</v>
      </c>
      <c r="B144" s="30" t="s">
        <v>22</v>
      </c>
      <c r="C144" s="30">
        <v>201710</v>
      </c>
      <c r="D144" s="30">
        <v>10621</v>
      </c>
      <c r="E144" s="30" t="s">
        <v>111</v>
      </c>
      <c r="F144" s="30" t="s">
        <v>155</v>
      </c>
      <c r="G144" s="30" t="s">
        <v>148</v>
      </c>
      <c r="H144" s="30" t="s">
        <v>167</v>
      </c>
      <c r="I144" s="30" t="s">
        <v>185</v>
      </c>
      <c r="J144" s="30">
        <v>28</v>
      </c>
      <c r="K144" s="30">
        <v>33</v>
      </c>
      <c r="L144" s="30">
        <v>36</v>
      </c>
      <c r="M144" s="31">
        <v>0.77778</v>
      </c>
      <c r="N144" s="31">
        <v>0.91667</v>
      </c>
      <c r="O144" s="30">
        <v>2.25</v>
      </c>
      <c r="P144" s="30">
        <v>3.375</v>
      </c>
      <c r="Q144" s="30">
        <v>0.2</v>
      </c>
      <c r="R144" s="30">
        <v>607.5</v>
      </c>
      <c r="S144" s="30">
        <v>3.47</v>
      </c>
    </row>
    <row r="145" spans="1:19">
      <c r="A145" s="26" t="s">
        <v>58</v>
      </c>
      <c r="B145" s="26" t="s">
        <v>22</v>
      </c>
      <c r="C145" s="26">
        <v>201710</v>
      </c>
      <c r="D145" s="26">
        <v>10918</v>
      </c>
      <c r="E145" s="26" t="s">
        <v>111</v>
      </c>
      <c r="F145" s="26" t="s">
        <v>155</v>
      </c>
      <c r="G145" s="26" t="s">
        <v>148</v>
      </c>
      <c r="H145" s="26" t="s">
        <v>167</v>
      </c>
      <c r="I145" s="26" t="s">
        <v>171</v>
      </c>
      <c r="J145" s="26">
        <v>34</v>
      </c>
      <c r="K145" s="26">
        <v>40</v>
      </c>
      <c r="L145" s="26">
        <v>42</v>
      </c>
      <c r="M145" s="32">
        <v>0.80952</v>
      </c>
      <c r="N145" s="32">
        <v>0.95238</v>
      </c>
      <c r="O145" s="26">
        <v>2.86</v>
      </c>
      <c r="P145" s="26">
        <v>3.375</v>
      </c>
      <c r="Q145" s="26">
        <v>0.2</v>
      </c>
      <c r="R145" s="26">
        <v>708.75</v>
      </c>
      <c r="S145" s="26">
        <v>4.04</v>
      </c>
    </row>
    <row r="146" spans="1:19">
      <c r="A146" s="30" t="s">
        <v>58</v>
      </c>
      <c r="B146" s="30" t="s">
        <v>24</v>
      </c>
      <c r="C146" s="30">
        <v>201720</v>
      </c>
      <c r="D146" s="30">
        <v>20617</v>
      </c>
      <c r="E146" s="30" t="s">
        <v>111</v>
      </c>
      <c r="F146" s="30" t="s">
        <v>155</v>
      </c>
      <c r="G146" s="30" t="s">
        <v>148</v>
      </c>
      <c r="H146" s="30" t="s">
        <v>167</v>
      </c>
      <c r="I146" s="30" t="s">
        <v>185</v>
      </c>
      <c r="J146" s="30">
        <v>32</v>
      </c>
      <c r="K146" s="30">
        <v>41</v>
      </c>
      <c r="L146" s="30">
        <v>44</v>
      </c>
      <c r="M146" s="31">
        <v>0.72727</v>
      </c>
      <c r="N146" s="31">
        <v>0.93182</v>
      </c>
      <c r="O146" s="30">
        <v>2.27</v>
      </c>
      <c r="P146" s="30">
        <v>3.375</v>
      </c>
      <c r="Q146" s="30">
        <v>0.27</v>
      </c>
      <c r="R146" s="30">
        <v>550</v>
      </c>
      <c r="S146" s="30">
        <v>4.24</v>
      </c>
    </row>
    <row r="147" spans="1:19">
      <c r="A147" s="26" t="s">
        <v>58</v>
      </c>
      <c r="B147" s="26" t="s">
        <v>24</v>
      </c>
      <c r="C147" s="26">
        <v>201720</v>
      </c>
      <c r="D147" s="26">
        <v>21158</v>
      </c>
      <c r="E147" s="26" t="s">
        <v>111</v>
      </c>
      <c r="F147" s="26" t="s">
        <v>155</v>
      </c>
      <c r="G147" s="26" t="s">
        <v>149</v>
      </c>
      <c r="H147" s="26" t="s">
        <v>167</v>
      </c>
      <c r="I147" s="26" t="s">
        <v>184</v>
      </c>
      <c r="J147" s="26">
        <v>23</v>
      </c>
      <c r="K147" s="26">
        <v>24</v>
      </c>
      <c r="L147" s="26">
        <v>27</v>
      </c>
      <c r="M147" s="32">
        <v>0.85185</v>
      </c>
      <c r="N147" s="32">
        <v>0.88889</v>
      </c>
      <c r="O147" s="26">
        <v>3</v>
      </c>
      <c r="P147" s="26">
        <v>3.375</v>
      </c>
      <c r="Q147" s="26">
        <v>0.2</v>
      </c>
      <c r="R147" s="26">
        <v>455.63</v>
      </c>
      <c r="S147" s="26">
        <v>2.6</v>
      </c>
    </row>
    <row r="148" spans="1:19">
      <c r="A148" s="30" t="s">
        <v>1</v>
      </c>
      <c r="B148" s="30" t="s">
        <v>26</v>
      </c>
      <c r="C148" s="30">
        <v>201810</v>
      </c>
      <c r="D148" s="30">
        <v>10621</v>
      </c>
      <c r="E148" s="30" t="s">
        <v>111</v>
      </c>
      <c r="F148" s="30" t="s">
        <v>155</v>
      </c>
      <c r="G148" s="30" t="s">
        <v>148</v>
      </c>
      <c r="H148" s="30" t="s">
        <v>167</v>
      </c>
      <c r="I148" s="30" t="s">
        <v>185</v>
      </c>
      <c r="J148" s="30">
        <v>32</v>
      </c>
      <c r="K148" s="30">
        <v>36</v>
      </c>
      <c r="L148" s="30">
        <v>38</v>
      </c>
      <c r="M148" s="31">
        <v>0.84211</v>
      </c>
      <c r="N148" s="31">
        <v>0.94737</v>
      </c>
      <c r="O148" s="30">
        <v>2.53</v>
      </c>
      <c r="P148" s="30">
        <v>3.375</v>
      </c>
      <c r="Q148" s="30">
        <v>0.2</v>
      </c>
      <c r="R148" s="30">
        <v>641.25</v>
      </c>
      <c r="S148" s="30">
        <v>3.66</v>
      </c>
    </row>
    <row r="149" spans="1:19">
      <c r="A149" s="26" t="s">
        <v>1</v>
      </c>
      <c r="B149" s="26" t="s">
        <v>26</v>
      </c>
      <c r="C149" s="26">
        <v>201810</v>
      </c>
      <c r="D149" s="26">
        <v>10918</v>
      </c>
      <c r="E149" s="26" t="s">
        <v>111</v>
      </c>
      <c r="F149" s="26" t="s">
        <v>155</v>
      </c>
      <c r="G149" s="26" t="s">
        <v>148</v>
      </c>
      <c r="H149" s="26" t="s">
        <v>167</v>
      </c>
      <c r="I149" s="26" t="s">
        <v>171</v>
      </c>
      <c r="J149" s="26">
        <v>41</v>
      </c>
      <c r="K149" s="26">
        <v>44</v>
      </c>
      <c r="L149" s="26">
        <v>45</v>
      </c>
      <c r="M149" s="32">
        <v>0.91111</v>
      </c>
      <c r="N149" s="32">
        <v>0.97778</v>
      </c>
      <c r="O149" s="26">
        <v>3.4</v>
      </c>
      <c r="P149" s="26">
        <v>3.375</v>
      </c>
      <c r="Q149" s="26">
        <v>0.2</v>
      </c>
      <c r="R149" s="26">
        <v>759.38</v>
      </c>
      <c r="S149" s="26">
        <v>4.33</v>
      </c>
    </row>
    <row r="150" spans="1:19">
      <c r="A150" s="30" t="s">
        <v>1</v>
      </c>
      <c r="B150" s="30" t="s">
        <v>26</v>
      </c>
      <c r="C150" s="30">
        <v>201810</v>
      </c>
      <c r="D150" s="30">
        <v>11194</v>
      </c>
      <c r="E150" s="30" t="s">
        <v>111</v>
      </c>
      <c r="F150" s="30" t="s">
        <v>155</v>
      </c>
      <c r="G150" s="30" t="s">
        <v>149</v>
      </c>
      <c r="H150" s="30" t="s">
        <v>167</v>
      </c>
      <c r="I150" s="30" t="s">
        <v>168</v>
      </c>
      <c r="J150" s="30">
        <v>25</v>
      </c>
      <c r="K150" s="30">
        <v>32</v>
      </c>
      <c r="L150" s="30">
        <v>35</v>
      </c>
      <c r="M150" s="31">
        <v>0.71429</v>
      </c>
      <c r="N150" s="31">
        <v>0.91429</v>
      </c>
      <c r="O150" s="30">
        <v>2.54</v>
      </c>
      <c r="P150" s="30">
        <v>3.375</v>
      </c>
      <c r="Q150" s="30">
        <v>0.2</v>
      </c>
      <c r="R150" s="30">
        <v>590.63</v>
      </c>
      <c r="S150" s="30">
        <v>3.37</v>
      </c>
    </row>
    <row r="151" spans="1:19">
      <c r="A151" s="26" t="s">
        <v>1</v>
      </c>
      <c r="B151" s="26" t="s">
        <v>28</v>
      </c>
      <c r="C151" s="26">
        <v>201820</v>
      </c>
      <c r="D151" s="26">
        <v>20617</v>
      </c>
      <c r="E151" s="26" t="s">
        <v>111</v>
      </c>
      <c r="F151" s="26" t="s">
        <v>155</v>
      </c>
      <c r="G151" s="26" t="s">
        <v>148</v>
      </c>
      <c r="H151" s="26" t="s">
        <v>167</v>
      </c>
      <c r="I151" s="26" t="s">
        <v>185</v>
      </c>
      <c r="J151" s="26">
        <v>37</v>
      </c>
      <c r="K151" s="26">
        <v>41</v>
      </c>
      <c r="L151" s="26">
        <v>46</v>
      </c>
      <c r="M151" s="32">
        <v>0.80435</v>
      </c>
      <c r="N151" s="32">
        <v>0.8913</v>
      </c>
      <c r="O151" s="26">
        <v>2.48</v>
      </c>
      <c r="P151" s="26">
        <v>3.375</v>
      </c>
      <c r="Q151" s="26">
        <v>0.2</v>
      </c>
      <c r="R151" s="26">
        <v>776.25</v>
      </c>
      <c r="S151" s="26">
        <v>4.43</v>
      </c>
    </row>
    <row r="152" spans="1:19">
      <c r="A152" s="30" t="s">
        <v>1</v>
      </c>
      <c r="B152" s="30" t="s">
        <v>28</v>
      </c>
      <c r="C152" s="30">
        <v>201820</v>
      </c>
      <c r="D152" s="30">
        <v>21168</v>
      </c>
      <c r="E152" s="30" t="s">
        <v>111</v>
      </c>
      <c r="F152" s="30" t="s">
        <v>155</v>
      </c>
      <c r="G152" s="30" t="s">
        <v>149</v>
      </c>
      <c r="H152" s="30" t="s">
        <v>167</v>
      </c>
      <c r="I152" s="30" t="s">
        <v>175</v>
      </c>
      <c r="J152" s="30">
        <v>37</v>
      </c>
      <c r="K152" s="30">
        <v>38</v>
      </c>
      <c r="L152" s="30">
        <v>42</v>
      </c>
      <c r="M152" s="31">
        <v>0.88095</v>
      </c>
      <c r="N152" s="31">
        <v>0.90476</v>
      </c>
      <c r="O152" s="30">
        <v>3.17</v>
      </c>
      <c r="P152" s="30">
        <v>3.375</v>
      </c>
      <c r="Q152" s="30">
        <v>0.2</v>
      </c>
      <c r="R152" s="30">
        <v>708.75</v>
      </c>
      <c r="S152" s="30">
        <v>4.04</v>
      </c>
    </row>
    <row r="153" spans="1:19">
      <c r="A153" s="26" t="s">
        <v>57</v>
      </c>
      <c r="B153" s="26" t="s">
        <v>18</v>
      </c>
      <c r="C153" s="26">
        <v>201610</v>
      </c>
      <c r="D153" s="26">
        <v>10622</v>
      </c>
      <c r="E153" s="26" t="s">
        <v>111</v>
      </c>
      <c r="F153" s="26" t="s">
        <v>156</v>
      </c>
      <c r="G153" s="26" t="s">
        <v>148</v>
      </c>
      <c r="H153" s="26" t="s">
        <v>167</v>
      </c>
      <c r="I153" s="26" t="s">
        <v>182</v>
      </c>
      <c r="J153" s="26">
        <v>30</v>
      </c>
      <c r="K153" s="26">
        <v>37</v>
      </c>
      <c r="L153" s="26">
        <v>37</v>
      </c>
      <c r="M153" s="32">
        <v>0.81081</v>
      </c>
      <c r="N153" s="32">
        <v>1</v>
      </c>
      <c r="O153" s="26">
        <v>2.86</v>
      </c>
      <c r="P153" s="26">
        <v>3.375</v>
      </c>
      <c r="Q153" s="26">
        <v>0.2</v>
      </c>
      <c r="R153" s="26">
        <v>624.38</v>
      </c>
      <c r="S153" s="26">
        <v>3.56</v>
      </c>
    </row>
    <row r="154" spans="1:19">
      <c r="A154" s="30" t="s">
        <v>57</v>
      </c>
      <c r="B154" s="30" t="s">
        <v>18</v>
      </c>
      <c r="C154" s="30">
        <v>201610</v>
      </c>
      <c r="D154" s="30">
        <v>10623</v>
      </c>
      <c r="E154" s="30" t="s">
        <v>111</v>
      </c>
      <c r="F154" s="30" t="s">
        <v>156</v>
      </c>
      <c r="G154" s="30" t="s">
        <v>148</v>
      </c>
      <c r="H154" s="30" t="s">
        <v>167</v>
      </c>
      <c r="I154" s="30" t="s">
        <v>171</v>
      </c>
      <c r="J154" s="30">
        <v>40</v>
      </c>
      <c r="K154" s="30">
        <v>43</v>
      </c>
      <c r="L154" s="30">
        <v>43</v>
      </c>
      <c r="M154" s="31">
        <v>0.93023</v>
      </c>
      <c r="N154" s="31">
        <v>1</v>
      </c>
      <c r="O154" s="30">
        <v>3.26</v>
      </c>
      <c r="P154" s="30">
        <v>3.375</v>
      </c>
      <c r="Q154" s="30">
        <v>0.2</v>
      </c>
      <c r="R154" s="30">
        <v>725.63</v>
      </c>
      <c r="S154" s="30">
        <v>4.14</v>
      </c>
    </row>
    <row r="155" spans="1:19">
      <c r="A155" s="26" t="s">
        <v>57</v>
      </c>
      <c r="B155" s="26" t="s">
        <v>18</v>
      </c>
      <c r="C155" s="26">
        <v>201610</v>
      </c>
      <c r="D155" s="26">
        <v>10624</v>
      </c>
      <c r="E155" s="26" t="s">
        <v>111</v>
      </c>
      <c r="F155" s="26" t="s">
        <v>156</v>
      </c>
      <c r="G155" s="26" t="s">
        <v>148</v>
      </c>
      <c r="H155" s="26" t="s">
        <v>167</v>
      </c>
      <c r="I155" s="26" t="s">
        <v>170</v>
      </c>
      <c r="J155" s="26">
        <v>47</v>
      </c>
      <c r="K155" s="26">
        <v>56</v>
      </c>
      <c r="L155" s="26">
        <v>66</v>
      </c>
      <c r="M155" s="32">
        <v>0.71212</v>
      </c>
      <c r="N155" s="32">
        <v>0.84848</v>
      </c>
      <c r="O155" s="26">
        <v>2.24</v>
      </c>
      <c r="P155" s="26">
        <v>3.375</v>
      </c>
      <c r="Q155" s="26">
        <v>0.4</v>
      </c>
      <c r="R155" s="26">
        <v>556.88</v>
      </c>
      <c r="S155" s="26">
        <v>6.35</v>
      </c>
    </row>
    <row r="156" spans="1:19">
      <c r="A156" s="30" t="s">
        <v>57</v>
      </c>
      <c r="B156" s="30" t="s">
        <v>18</v>
      </c>
      <c r="C156" s="30">
        <v>201610</v>
      </c>
      <c r="D156" s="30">
        <v>10625</v>
      </c>
      <c r="E156" s="30" t="s">
        <v>111</v>
      </c>
      <c r="F156" s="30" t="s">
        <v>156</v>
      </c>
      <c r="G156" s="30" t="s">
        <v>148</v>
      </c>
      <c r="H156" s="30" t="s">
        <v>167</v>
      </c>
      <c r="I156" s="30" t="s">
        <v>185</v>
      </c>
      <c r="J156" s="30">
        <v>27</v>
      </c>
      <c r="K156" s="30">
        <v>31</v>
      </c>
      <c r="L156" s="30">
        <v>35</v>
      </c>
      <c r="M156" s="31">
        <v>0.77143</v>
      </c>
      <c r="N156" s="31">
        <v>0.88571</v>
      </c>
      <c r="O156" s="30">
        <v>2.09</v>
      </c>
      <c r="P156" s="30">
        <v>3.375</v>
      </c>
      <c r="Q156" s="30">
        <v>0.2</v>
      </c>
      <c r="R156" s="30">
        <v>590.63</v>
      </c>
      <c r="S156" s="30">
        <v>3.37</v>
      </c>
    </row>
    <row r="157" spans="1:19">
      <c r="A157" s="26" t="s">
        <v>57</v>
      </c>
      <c r="B157" s="26" t="s">
        <v>18</v>
      </c>
      <c r="C157" s="26">
        <v>201610</v>
      </c>
      <c r="D157" s="26">
        <v>10626</v>
      </c>
      <c r="E157" s="26" t="s">
        <v>111</v>
      </c>
      <c r="F157" s="26" t="s">
        <v>156</v>
      </c>
      <c r="G157" s="26" t="s">
        <v>148</v>
      </c>
      <c r="H157" s="26" t="s">
        <v>167</v>
      </c>
      <c r="I157" s="26" t="s">
        <v>168</v>
      </c>
      <c r="J157" s="26">
        <v>34</v>
      </c>
      <c r="K157" s="26">
        <v>40</v>
      </c>
      <c r="L157" s="26">
        <v>44</v>
      </c>
      <c r="M157" s="32">
        <v>0.77273</v>
      </c>
      <c r="N157" s="32">
        <v>0.90909</v>
      </c>
      <c r="O157" s="26">
        <v>2.77</v>
      </c>
      <c r="P157" s="26">
        <v>3.375</v>
      </c>
      <c r="Q157" s="26">
        <v>0.2</v>
      </c>
      <c r="R157" s="26">
        <v>742.5</v>
      </c>
      <c r="S157" s="26">
        <v>4.24</v>
      </c>
    </row>
    <row r="158" spans="1:19">
      <c r="A158" s="30" t="s">
        <v>57</v>
      </c>
      <c r="B158" s="30" t="s">
        <v>18</v>
      </c>
      <c r="C158" s="30">
        <v>201610</v>
      </c>
      <c r="D158" s="30">
        <v>10627</v>
      </c>
      <c r="E158" s="30" t="s">
        <v>111</v>
      </c>
      <c r="F158" s="30" t="s">
        <v>156</v>
      </c>
      <c r="G158" s="30" t="s">
        <v>148</v>
      </c>
      <c r="H158" s="30" t="s">
        <v>167</v>
      </c>
      <c r="I158" s="30" t="s">
        <v>173</v>
      </c>
      <c r="J158" s="30">
        <v>28</v>
      </c>
      <c r="K158" s="30">
        <v>34</v>
      </c>
      <c r="L158" s="30">
        <v>37</v>
      </c>
      <c r="M158" s="31">
        <v>0.75676</v>
      </c>
      <c r="N158" s="31">
        <v>0.91892</v>
      </c>
      <c r="O158" s="30">
        <v>2.65</v>
      </c>
      <c r="P158" s="30">
        <v>3.375</v>
      </c>
      <c r="Q158" s="30">
        <v>0.2</v>
      </c>
      <c r="R158" s="30">
        <v>624.38</v>
      </c>
      <c r="S158" s="30">
        <v>3.56</v>
      </c>
    </row>
    <row r="159" spans="1:19">
      <c r="A159" s="26" t="s">
        <v>57</v>
      </c>
      <c r="B159" s="26" t="s">
        <v>18</v>
      </c>
      <c r="C159" s="26">
        <v>201610</v>
      </c>
      <c r="D159" s="26">
        <v>10628</v>
      </c>
      <c r="E159" s="26" t="s">
        <v>111</v>
      </c>
      <c r="F159" s="26" t="s">
        <v>156</v>
      </c>
      <c r="G159" s="26" t="s">
        <v>148</v>
      </c>
      <c r="H159" s="26" t="s">
        <v>167</v>
      </c>
      <c r="I159" s="26" t="s">
        <v>172</v>
      </c>
      <c r="J159" s="26">
        <v>36</v>
      </c>
      <c r="K159" s="26">
        <v>38</v>
      </c>
      <c r="L159" s="26">
        <v>39</v>
      </c>
      <c r="M159" s="32">
        <v>0.92308</v>
      </c>
      <c r="N159" s="32">
        <v>0.97436</v>
      </c>
      <c r="O159" s="26">
        <v>3.28</v>
      </c>
      <c r="P159" s="26">
        <v>3.375</v>
      </c>
      <c r="Q159" s="26">
        <v>0.2</v>
      </c>
      <c r="R159" s="26">
        <v>658.13</v>
      </c>
      <c r="S159" s="26">
        <v>3.76</v>
      </c>
    </row>
    <row r="160" spans="1:19">
      <c r="A160" s="30" t="s">
        <v>57</v>
      </c>
      <c r="B160" s="30" t="s">
        <v>18</v>
      </c>
      <c r="C160" s="30">
        <v>201610</v>
      </c>
      <c r="D160" s="30">
        <v>10629</v>
      </c>
      <c r="E160" s="30" t="s">
        <v>111</v>
      </c>
      <c r="F160" s="30" t="s">
        <v>156</v>
      </c>
      <c r="G160" s="30" t="s">
        <v>149</v>
      </c>
      <c r="H160" s="30" t="s">
        <v>167</v>
      </c>
      <c r="I160" s="30" t="s">
        <v>182</v>
      </c>
      <c r="J160" s="30">
        <v>19</v>
      </c>
      <c r="K160" s="30">
        <v>31</v>
      </c>
      <c r="L160" s="30">
        <v>35</v>
      </c>
      <c r="M160" s="31">
        <v>0.54286</v>
      </c>
      <c r="N160" s="31">
        <v>0.88571</v>
      </c>
      <c r="O160" s="30">
        <v>1.83</v>
      </c>
      <c r="P160" s="30">
        <v>3.375</v>
      </c>
      <c r="Q160" s="30">
        <v>0.2</v>
      </c>
      <c r="R160" s="30">
        <v>590.63</v>
      </c>
      <c r="S160" s="30">
        <v>3.37</v>
      </c>
    </row>
    <row r="161" spans="1:19">
      <c r="A161" s="26" t="s">
        <v>57</v>
      </c>
      <c r="B161" s="26" t="s">
        <v>18</v>
      </c>
      <c r="C161" s="26">
        <v>201610</v>
      </c>
      <c r="D161" s="26">
        <v>10630</v>
      </c>
      <c r="E161" s="26" t="s">
        <v>111</v>
      </c>
      <c r="F161" s="26" t="s">
        <v>156</v>
      </c>
      <c r="G161" s="26" t="s">
        <v>149</v>
      </c>
      <c r="H161" s="26" t="s">
        <v>167</v>
      </c>
      <c r="I161" s="26" t="s">
        <v>180</v>
      </c>
      <c r="J161" s="26">
        <v>21</v>
      </c>
      <c r="K161" s="26">
        <v>29</v>
      </c>
      <c r="L161" s="26">
        <v>36</v>
      </c>
      <c r="M161" s="32">
        <v>0.58333</v>
      </c>
      <c r="N161" s="32">
        <v>0.80556</v>
      </c>
      <c r="O161" s="26">
        <v>1.75</v>
      </c>
      <c r="P161" s="26">
        <v>3.375</v>
      </c>
      <c r="Q161" s="26">
        <v>0.2</v>
      </c>
      <c r="R161" s="26">
        <v>607.5</v>
      </c>
      <c r="S161" s="26">
        <v>3.47</v>
      </c>
    </row>
    <row r="162" spans="1:19">
      <c r="A162" s="30" t="s">
        <v>57</v>
      </c>
      <c r="B162" s="30" t="s">
        <v>19</v>
      </c>
      <c r="C162" s="30">
        <v>201615</v>
      </c>
      <c r="D162" s="30">
        <v>15094</v>
      </c>
      <c r="E162" s="30" t="s">
        <v>111</v>
      </c>
      <c r="F162" s="30" t="s">
        <v>156</v>
      </c>
      <c r="G162" s="30" t="s">
        <v>148</v>
      </c>
      <c r="H162" s="30" t="s">
        <v>167</v>
      </c>
      <c r="I162" s="30" t="s">
        <v>172</v>
      </c>
      <c r="J162" s="30">
        <v>37</v>
      </c>
      <c r="K162" s="30">
        <v>37</v>
      </c>
      <c r="L162" s="30">
        <v>37</v>
      </c>
      <c r="M162" s="31">
        <v>1</v>
      </c>
      <c r="N162" s="31">
        <v>1</v>
      </c>
      <c r="O162" s="30">
        <v>3.86</v>
      </c>
      <c r="P162" s="30">
        <v>3.375</v>
      </c>
      <c r="Q162" s="30">
        <v>0.2</v>
      </c>
      <c r="R162" s="30">
        <v>624.38</v>
      </c>
      <c r="S162" s="30">
        <v>3.61</v>
      </c>
    </row>
    <row r="163" spans="1:19">
      <c r="A163" s="26" t="s">
        <v>57</v>
      </c>
      <c r="B163" s="26" t="s">
        <v>19</v>
      </c>
      <c r="C163" s="26">
        <v>201615</v>
      </c>
      <c r="D163" s="26">
        <v>15095</v>
      </c>
      <c r="E163" s="26" t="s">
        <v>111</v>
      </c>
      <c r="F163" s="26" t="s">
        <v>156</v>
      </c>
      <c r="G163" s="26" t="s">
        <v>148</v>
      </c>
      <c r="H163" s="26" t="s">
        <v>167</v>
      </c>
      <c r="I163" s="26" t="s">
        <v>176</v>
      </c>
      <c r="J163" s="26">
        <v>20</v>
      </c>
      <c r="K163" s="26">
        <v>21</v>
      </c>
      <c r="L163" s="26">
        <v>22</v>
      </c>
      <c r="M163" s="32">
        <v>0.90909</v>
      </c>
      <c r="N163" s="32">
        <v>0.95455</v>
      </c>
      <c r="O163" s="26">
        <v>3.09</v>
      </c>
      <c r="P163" s="26">
        <v>3.375</v>
      </c>
      <c r="Q163" s="26">
        <v>0.2</v>
      </c>
      <c r="R163" s="26">
        <v>371.25</v>
      </c>
      <c r="S163" s="26">
        <v>2.15</v>
      </c>
    </row>
    <row r="164" spans="1:19">
      <c r="A164" s="30" t="s">
        <v>57</v>
      </c>
      <c r="B164" s="30" t="s">
        <v>20</v>
      </c>
      <c r="C164" s="30">
        <v>201620</v>
      </c>
      <c r="D164" s="30">
        <v>20618</v>
      </c>
      <c r="E164" s="30" t="s">
        <v>111</v>
      </c>
      <c r="F164" s="30" t="s">
        <v>156</v>
      </c>
      <c r="G164" s="30" t="s">
        <v>148</v>
      </c>
      <c r="H164" s="30" t="s">
        <v>167</v>
      </c>
      <c r="I164" s="30" t="s">
        <v>171</v>
      </c>
      <c r="J164" s="30">
        <v>33</v>
      </c>
      <c r="K164" s="30">
        <v>34</v>
      </c>
      <c r="L164" s="30">
        <v>35</v>
      </c>
      <c r="M164" s="31">
        <v>0.94286</v>
      </c>
      <c r="N164" s="31">
        <v>0.97143</v>
      </c>
      <c r="O164" s="30">
        <v>3.6</v>
      </c>
      <c r="P164" s="30">
        <v>3.375</v>
      </c>
      <c r="Q164" s="30">
        <v>0.2</v>
      </c>
      <c r="R164" s="30">
        <v>590.63</v>
      </c>
      <c r="S164" s="30">
        <v>3.37</v>
      </c>
    </row>
    <row r="165" spans="1:19">
      <c r="A165" s="26" t="s">
        <v>57</v>
      </c>
      <c r="B165" s="26" t="s">
        <v>20</v>
      </c>
      <c r="C165" s="26">
        <v>201620</v>
      </c>
      <c r="D165" s="26">
        <v>20619</v>
      </c>
      <c r="E165" s="26" t="s">
        <v>111</v>
      </c>
      <c r="F165" s="26" t="s">
        <v>156</v>
      </c>
      <c r="G165" s="26" t="s">
        <v>148</v>
      </c>
      <c r="H165" s="26" t="s">
        <v>167</v>
      </c>
      <c r="I165" s="26" t="s">
        <v>171</v>
      </c>
      <c r="J165" s="26">
        <v>27</v>
      </c>
      <c r="K165" s="26">
        <v>37</v>
      </c>
      <c r="L165" s="26">
        <v>38</v>
      </c>
      <c r="M165" s="32">
        <v>0.71053</v>
      </c>
      <c r="N165" s="32">
        <v>0.97368</v>
      </c>
      <c r="O165" s="26">
        <v>2.68</v>
      </c>
      <c r="P165" s="26">
        <v>3.375</v>
      </c>
      <c r="Q165" s="26">
        <v>0.2</v>
      </c>
      <c r="R165" s="26">
        <v>641.25</v>
      </c>
      <c r="S165" s="26">
        <v>3.66</v>
      </c>
    </row>
    <row r="166" spans="1:19">
      <c r="A166" s="30" t="s">
        <v>57</v>
      </c>
      <c r="B166" s="30" t="s">
        <v>20</v>
      </c>
      <c r="C166" s="30">
        <v>201620</v>
      </c>
      <c r="D166" s="30">
        <v>20620</v>
      </c>
      <c r="E166" s="30" t="s">
        <v>111</v>
      </c>
      <c r="F166" s="30" t="s">
        <v>156</v>
      </c>
      <c r="G166" s="30" t="s">
        <v>148</v>
      </c>
      <c r="H166" s="30" t="s">
        <v>167</v>
      </c>
      <c r="I166" s="30" t="s">
        <v>170</v>
      </c>
      <c r="J166" s="30">
        <v>36</v>
      </c>
      <c r="K166" s="30">
        <v>48</v>
      </c>
      <c r="L166" s="30">
        <v>62</v>
      </c>
      <c r="M166" s="31">
        <v>0.58065</v>
      </c>
      <c r="N166" s="31">
        <v>0.77419</v>
      </c>
      <c r="O166" s="30">
        <v>1.73</v>
      </c>
      <c r="P166" s="30">
        <v>3.375</v>
      </c>
      <c r="Q166" s="30">
        <v>0.4</v>
      </c>
      <c r="R166" s="30">
        <v>523.13</v>
      </c>
      <c r="S166" s="30">
        <v>5.97</v>
      </c>
    </row>
    <row r="167" spans="1:19">
      <c r="A167" s="26" t="s">
        <v>57</v>
      </c>
      <c r="B167" s="26" t="s">
        <v>20</v>
      </c>
      <c r="C167" s="26">
        <v>201620</v>
      </c>
      <c r="D167" s="26">
        <v>20621</v>
      </c>
      <c r="E167" s="26" t="s">
        <v>111</v>
      </c>
      <c r="F167" s="26" t="s">
        <v>156</v>
      </c>
      <c r="G167" s="26" t="s">
        <v>148</v>
      </c>
      <c r="H167" s="26" t="s">
        <v>167</v>
      </c>
      <c r="I167" s="26" t="s">
        <v>185</v>
      </c>
      <c r="J167" s="26">
        <v>12</v>
      </c>
      <c r="K167" s="26">
        <v>15</v>
      </c>
      <c r="L167" s="26">
        <v>18</v>
      </c>
      <c r="M167" s="32">
        <v>0.66667</v>
      </c>
      <c r="N167" s="32">
        <v>0.83333</v>
      </c>
      <c r="O167" s="26">
        <v>2.06</v>
      </c>
      <c r="P167" s="26">
        <v>3.375</v>
      </c>
      <c r="Q167" s="26">
        <v>0.2</v>
      </c>
      <c r="R167" s="26">
        <v>303.75</v>
      </c>
      <c r="S167" s="26">
        <v>1.73</v>
      </c>
    </row>
    <row r="168" spans="1:19">
      <c r="A168" s="30" t="s">
        <v>57</v>
      </c>
      <c r="B168" s="30" t="s">
        <v>20</v>
      </c>
      <c r="C168" s="30">
        <v>201620</v>
      </c>
      <c r="D168" s="30">
        <v>20622</v>
      </c>
      <c r="E168" s="30" t="s">
        <v>111</v>
      </c>
      <c r="F168" s="30" t="s">
        <v>156</v>
      </c>
      <c r="G168" s="30" t="s">
        <v>148</v>
      </c>
      <c r="H168" s="30" t="s">
        <v>167</v>
      </c>
      <c r="I168" s="30" t="s">
        <v>168</v>
      </c>
      <c r="J168" s="30">
        <v>26</v>
      </c>
      <c r="K168" s="30">
        <v>36</v>
      </c>
      <c r="L168" s="30">
        <v>36</v>
      </c>
      <c r="M168" s="31">
        <v>0.72222</v>
      </c>
      <c r="N168" s="31">
        <v>1</v>
      </c>
      <c r="O168" s="30">
        <v>2.33</v>
      </c>
      <c r="P168" s="30">
        <v>3.375</v>
      </c>
      <c r="Q168" s="30">
        <v>0.2</v>
      </c>
      <c r="R168" s="30">
        <v>607.5</v>
      </c>
      <c r="S168" s="30">
        <v>3.47</v>
      </c>
    </row>
    <row r="169" spans="1:19">
      <c r="A169" s="26" t="s">
        <v>57</v>
      </c>
      <c r="B169" s="26" t="s">
        <v>20</v>
      </c>
      <c r="C169" s="26">
        <v>201620</v>
      </c>
      <c r="D169" s="26">
        <v>20623</v>
      </c>
      <c r="E169" s="26" t="s">
        <v>111</v>
      </c>
      <c r="F169" s="26" t="s">
        <v>156</v>
      </c>
      <c r="G169" s="26" t="s">
        <v>148</v>
      </c>
      <c r="H169" s="26" t="s">
        <v>167</v>
      </c>
      <c r="I169" s="26" t="s">
        <v>173</v>
      </c>
      <c r="J169" s="26">
        <v>18</v>
      </c>
      <c r="K169" s="26">
        <v>18</v>
      </c>
      <c r="L169" s="26">
        <v>20</v>
      </c>
      <c r="M169" s="32">
        <v>0.9</v>
      </c>
      <c r="N169" s="32">
        <v>0.9</v>
      </c>
      <c r="O169" s="26">
        <v>3.1</v>
      </c>
      <c r="P169" s="26">
        <v>3.375</v>
      </c>
      <c r="Q169" s="26">
        <v>0.2</v>
      </c>
      <c r="R169" s="26">
        <v>337.5</v>
      </c>
      <c r="S169" s="26">
        <v>1.93</v>
      </c>
    </row>
    <row r="170" spans="1:19">
      <c r="A170" s="30" t="s">
        <v>57</v>
      </c>
      <c r="B170" s="30" t="s">
        <v>20</v>
      </c>
      <c r="C170" s="30">
        <v>201620</v>
      </c>
      <c r="D170" s="30">
        <v>20624</v>
      </c>
      <c r="E170" s="30" t="s">
        <v>111</v>
      </c>
      <c r="F170" s="30" t="s">
        <v>156</v>
      </c>
      <c r="G170" s="30" t="s">
        <v>148</v>
      </c>
      <c r="H170" s="30" t="s">
        <v>167</v>
      </c>
      <c r="I170" s="30" t="s">
        <v>172</v>
      </c>
      <c r="J170" s="30">
        <v>29</v>
      </c>
      <c r="K170" s="30">
        <v>33</v>
      </c>
      <c r="L170" s="30">
        <v>34</v>
      </c>
      <c r="M170" s="31">
        <v>0.85294</v>
      </c>
      <c r="N170" s="31">
        <v>0.97059</v>
      </c>
      <c r="O170" s="30">
        <v>3.15</v>
      </c>
      <c r="P170" s="30">
        <v>3.375</v>
      </c>
      <c r="Q170" s="30">
        <v>0.2</v>
      </c>
      <c r="R170" s="30">
        <v>573.75</v>
      </c>
      <c r="S170" s="30">
        <v>3.27</v>
      </c>
    </row>
    <row r="171" spans="1:19">
      <c r="A171" s="26" t="s">
        <v>57</v>
      </c>
      <c r="B171" s="26" t="s">
        <v>20</v>
      </c>
      <c r="C171" s="26">
        <v>201620</v>
      </c>
      <c r="D171" s="26">
        <v>20625</v>
      </c>
      <c r="E171" s="26" t="s">
        <v>111</v>
      </c>
      <c r="F171" s="26" t="s">
        <v>156</v>
      </c>
      <c r="G171" s="26" t="s">
        <v>149</v>
      </c>
      <c r="H171" s="26" t="s">
        <v>167</v>
      </c>
      <c r="I171" s="26" t="s">
        <v>175</v>
      </c>
      <c r="J171" s="26">
        <v>17</v>
      </c>
      <c r="K171" s="26">
        <v>17</v>
      </c>
      <c r="L171" s="26">
        <v>21</v>
      </c>
      <c r="M171" s="32">
        <v>0.80952</v>
      </c>
      <c r="N171" s="32">
        <v>0.80952</v>
      </c>
      <c r="O171" s="26">
        <v>3</v>
      </c>
      <c r="P171" s="26">
        <v>3.375</v>
      </c>
      <c r="Q171" s="26">
        <v>0.2</v>
      </c>
      <c r="R171" s="26">
        <v>354.38</v>
      </c>
      <c r="S171" s="26">
        <v>2.02</v>
      </c>
    </row>
    <row r="172" spans="1:19">
      <c r="A172" s="30" t="s">
        <v>57</v>
      </c>
      <c r="B172" s="30" t="s">
        <v>20</v>
      </c>
      <c r="C172" s="30">
        <v>201620</v>
      </c>
      <c r="D172" s="30">
        <v>20626</v>
      </c>
      <c r="E172" s="30" t="s">
        <v>111</v>
      </c>
      <c r="F172" s="30" t="s">
        <v>156</v>
      </c>
      <c r="G172" s="30" t="s">
        <v>149</v>
      </c>
      <c r="H172" s="30" t="s">
        <v>167</v>
      </c>
      <c r="I172" s="30" t="s">
        <v>182</v>
      </c>
      <c r="J172" s="30">
        <v>16</v>
      </c>
      <c r="K172" s="30">
        <v>24</v>
      </c>
      <c r="L172" s="30">
        <v>28</v>
      </c>
      <c r="M172" s="31">
        <v>0.57143</v>
      </c>
      <c r="N172" s="31">
        <v>0.85714</v>
      </c>
      <c r="O172" s="30">
        <v>1.71</v>
      </c>
      <c r="P172" s="30">
        <v>3.375</v>
      </c>
      <c r="Q172" s="30">
        <v>0.2</v>
      </c>
      <c r="R172" s="30">
        <v>472.5</v>
      </c>
      <c r="S172" s="30">
        <v>2.7</v>
      </c>
    </row>
    <row r="173" spans="1:19">
      <c r="A173" s="26" t="s">
        <v>57</v>
      </c>
      <c r="B173" s="26" t="s">
        <v>21</v>
      </c>
      <c r="C173" s="26">
        <v>201630</v>
      </c>
      <c r="D173" s="26">
        <v>30066</v>
      </c>
      <c r="E173" s="26" t="s">
        <v>111</v>
      </c>
      <c r="F173" s="26" t="s">
        <v>156</v>
      </c>
      <c r="G173" s="26" t="s">
        <v>148</v>
      </c>
      <c r="H173" s="26" t="s">
        <v>167</v>
      </c>
      <c r="I173" s="26" t="s">
        <v>172</v>
      </c>
      <c r="J173" s="26">
        <v>30</v>
      </c>
      <c r="K173" s="26">
        <v>31</v>
      </c>
      <c r="L173" s="26">
        <v>31</v>
      </c>
      <c r="M173" s="32">
        <v>0.96774</v>
      </c>
      <c r="N173" s="32">
        <v>1</v>
      </c>
      <c r="O173" s="26">
        <v>3.68</v>
      </c>
      <c r="P173" s="26">
        <v>3.375</v>
      </c>
      <c r="Q173" s="26">
        <v>0.2</v>
      </c>
      <c r="R173" s="26">
        <v>523.13</v>
      </c>
      <c r="S173" s="26">
        <v>3.03</v>
      </c>
    </row>
    <row r="174" spans="1:19">
      <c r="A174" s="30" t="s">
        <v>57</v>
      </c>
      <c r="B174" s="30" t="s">
        <v>21</v>
      </c>
      <c r="C174" s="30">
        <v>201630</v>
      </c>
      <c r="D174" s="30">
        <v>30067</v>
      </c>
      <c r="E174" s="30" t="s">
        <v>111</v>
      </c>
      <c r="F174" s="30" t="s">
        <v>156</v>
      </c>
      <c r="G174" s="30" t="s">
        <v>149</v>
      </c>
      <c r="H174" s="30" t="s">
        <v>167</v>
      </c>
      <c r="I174" s="30" t="s">
        <v>179</v>
      </c>
      <c r="J174" s="30">
        <v>28</v>
      </c>
      <c r="K174" s="30">
        <v>28</v>
      </c>
      <c r="L174" s="30">
        <v>29</v>
      </c>
      <c r="M174" s="31">
        <v>0.96552</v>
      </c>
      <c r="N174" s="31">
        <v>0.96552</v>
      </c>
      <c r="O174" s="30">
        <v>3.62</v>
      </c>
      <c r="P174" s="30">
        <v>3.375</v>
      </c>
      <c r="Q174" s="30">
        <v>0.2</v>
      </c>
      <c r="R174" s="30">
        <v>489.38</v>
      </c>
      <c r="S174" s="30">
        <v>2.83</v>
      </c>
    </row>
    <row r="175" spans="1:19">
      <c r="A175" s="26" t="s">
        <v>57</v>
      </c>
      <c r="B175" s="26" t="s">
        <v>21</v>
      </c>
      <c r="C175" s="26">
        <v>201630</v>
      </c>
      <c r="D175" s="26">
        <v>30189</v>
      </c>
      <c r="E175" s="26" t="s">
        <v>111</v>
      </c>
      <c r="F175" s="26" t="s">
        <v>156</v>
      </c>
      <c r="G175" s="26" t="s">
        <v>148</v>
      </c>
      <c r="H175" s="26" t="s">
        <v>167</v>
      </c>
      <c r="I175" s="26" t="s">
        <v>178</v>
      </c>
      <c r="J175" s="26">
        <v>18</v>
      </c>
      <c r="K175" s="26">
        <v>18</v>
      </c>
      <c r="L175" s="26">
        <v>18</v>
      </c>
      <c r="M175" s="32">
        <v>1</v>
      </c>
      <c r="N175" s="32">
        <v>1</v>
      </c>
      <c r="O175" s="26">
        <v>3.61</v>
      </c>
      <c r="P175" s="26">
        <v>3.375</v>
      </c>
      <c r="Q175" s="26">
        <v>0.2</v>
      </c>
      <c r="R175" s="26">
        <v>303.75</v>
      </c>
      <c r="S175" s="26">
        <v>1.76</v>
      </c>
    </row>
    <row r="176" spans="1:19">
      <c r="A176" s="30" t="s">
        <v>58</v>
      </c>
      <c r="B176" s="30" t="s">
        <v>22</v>
      </c>
      <c r="C176" s="30">
        <v>201710</v>
      </c>
      <c r="D176" s="30">
        <v>10624</v>
      </c>
      <c r="E176" s="30" t="s">
        <v>111</v>
      </c>
      <c r="F176" s="30" t="s">
        <v>156</v>
      </c>
      <c r="G176" s="30" t="s">
        <v>148</v>
      </c>
      <c r="H176" s="30" t="s">
        <v>167</v>
      </c>
      <c r="I176" s="30" t="s">
        <v>170</v>
      </c>
      <c r="J176" s="30">
        <v>55</v>
      </c>
      <c r="K176" s="30">
        <v>66</v>
      </c>
      <c r="L176" s="30">
        <v>75</v>
      </c>
      <c r="M176" s="31">
        <v>0.73333</v>
      </c>
      <c r="N176" s="31">
        <v>0.88</v>
      </c>
      <c r="O176" s="30">
        <v>2.23</v>
      </c>
      <c r="P176" s="30">
        <v>3.375</v>
      </c>
      <c r="Q176" s="30">
        <v>0.4</v>
      </c>
      <c r="R176" s="30">
        <v>632.81</v>
      </c>
      <c r="S176" s="30">
        <v>7.22</v>
      </c>
    </row>
    <row r="177" spans="1:19">
      <c r="A177" s="26" t="s">
        <v>58</v>
      </c>
      <c r="B177" s="26" t="s">
        <v>22</v>
      </c>
      <c r="C177" s="26">
        <v>201710</v>
      </c>
      <c r="D177" s="26">
        <v>10625</v>
      </c>
      <c r="E177" s="26" t="s">
        <v>111</v>
      </c>
      <c r="F177" s="26" t="s">
        <v>156</v>
      </c>
      <c r="G177" s="26" t="s">
        <v>148</v>
      </c>
      <c r="H177" s="26" t="s">
        <v>167</v>
      </c>
      <c r="I177" s="26" t="s">
        <v>172</v>
      </c>
      <c r="J177" s="26">
        <v>32</v>
      </c>
      <c r="K177" s="26">
        <v>37</v>
      </c>
      <c r="L177" s="26">
        <v>38</v>
      </c>
      <c r="M177" s="32">
        <v>0.84211</v>
      </c>
      <c r="N177" s="32">
        <v>0.97368</v>
      </c>
      <c r="O177" s="26">
        <v>2.82</v>
      </c>
      <c r="P177" s="26">
        <v>3.375</v>
      </c>
      <c r="Q177" s="26">
        <v>0.2</v>
      </c>
      <c r="R177" s="26">
        <v>641.25</v>
      </c>
      <c r="S177" s="26">
        <v>3.66</v>
      </c>
    </row>
    <row r="178" spans="1:19">
      <c r="A178" s="30" t="s">
        <v>58</v>
      </c>
      <c r="B178" s="30" t="s">
        <v>22</v>
      </c>
      <c r="C178" s="30">
        <v>201710</v>
      </c>
      <c r="D178" s="30">
        <v>10626</v>
      </c>
      <c r="E178" s="30" t="s">
        <v>111</v>
      </c>
      <c r="F178" s="30" t="s">
        <v>156</v>
      </c>
      <c r="G178" s="30" t="s">
        <v>148</v>
      </c>
      <c r="H178" s="30" t="s">
        <v>167</v>
      </c>
      <c r="I178" s="30" t="s">
        <v>170</v>
      </c>
      <c r="J178" s="30">
        <v>30</v>
      </c>
      <c r="K178" s="30">
        <v>35</v>
      </c>
      <c r="L178" s="30">
        <v>38</v>
      </c>
      <c r="M178" s="31">
        <v>0.78947</v>
      </c>
      <c r="N178" s="31">
        <v>0.92105</v>
      </c>
      <c r="O178" s="30">
        <v>2.42</v>
      </c>
      <c r="P178" s="30">
        <v>3.375</v>
      </c>
      <c r="Q178" s="30">
        <v>0.2</v>
      </c>
      <c r="R178" s="30">
        <v>641.25</v>
      </c>
      <c r="S178" s="30">
        <v>3.66</v>
      </c>
    </row>
    <row r="179" spans="1:19">
      <c r="A179" s="26" t="s">
        <v>58</v>
      </c>
      <c r="B179" s="26" t="s">
        <v>22</v>
      </c>
      <c r="C179" s="26">
        <v>201710</v>
      </c>
      <c r="D179" s="26">
        <v>10628</v>
      </c>
      <c r="E179" s="26" t="s">
        <v>111</v>
      </c>
      <c r="F179" s="26" t="s">
        <v>156</v>
      </c>
      <c r="G179" s="26" t="s">
        <v>148</v>
      </c>
      <c r="H179" s="26" t="s">
        <v>167</v>
      </c>
      <c r="I179" s="26" t="s">
        <v>172</v>
      </c>
      <c r="J179" s="26">
        <v>32</v>
      </c>
      <c r="K179" s="26">
        <v>35</v>
      </c>
      <c r="L179" s="26">
        <v>37</v>
      </c>
      <c r="M179" s="32">
        <v>0.86486</v>
      </c>
      <c r="N179" s="32">
        <v>0.94595</v>
      </c>
      <c r="O179" s="26">
        <v>3.27</v>
      </c>
      <c r="P179" s="26">
        <v>3.375</v>
      </c>
      <c r="Q179" s="26">
        <v>0.2</v>
      </c>
      <c r="R179" s="26">
        <v>624.38</v>
      </c>
      <c r="S179" s="26">
        <v>3.56</v>
      </c>
    </row>
    <row r="180" spans="1:19">
      <c r="A180" s="30" t="s">
        <v>58</v>
      </c>
      <c r="B180" s="30" t="s">
        <v>22</v>
      </c>
      <c r="C180" s="30">
        <v>201710</v>
      </c>
      <c r="D180" s="30">
        <v>10629</v>
      </c>
      <c r="E180" s="30" t="s">
        <v>111</v>
      </c>
      <c r="F180" s="30" t="s">
        <v>156</v>
      </c>
      <c r="G180" s="30" t="s">
        <v>149</v>
      </c>
      <c r="H180" s="30" t="s">
        <v>167</v>
      </c>
      <c r="I180" s="30" t="s">
        <v>175</v>
      </c>
      <c r="J180" s="30">
        <v>32</v>
      </c>
      <c r="K180" s="30">
        <v>37</v>
      </c>
      <c r="L180" s="30">
        <v>39</v>
      </c>
      <c r="M180" s="31">
        <v>0.82051</v>
      </c>
      <c r="N180" s="31">
        <v>0.94872</v>
      </c>
      <c r="O180" s="30">
        <v>2.97</v>
      </c>
      <c r="P180" s="30">
        <v>3.375</v>
      </c>
      <c r="Q180" s="30">
        <v>0.2</v>
      </c>
      <c r="R180" s="30">
        <v>658.13</v>
      </c>
      <c r="S180" s="30">
        <v>3.76</v>
      </c>
    </row>
    <row r="181" spans="1:19">
      <c r="A181" s="26" t="s">
        <v>58</v>
      </c>
      <c r="B181" s="26" t="s">
        <v>22</v>
      </c>
      <c r="C181" s="26">
        <v>201710</v>
      </c>
      <c r="D181" s="26">
        <v>10630</v>
      </c>
      <c r="E181" s="26" t="s">
        <v>111</v>
      </c>
      <c r="F181" s="26" t="s">
        <v>156</v>
      </c>
      <c r="G181" s="26" t="s">
        <v>149</v>
      </c>
      <c r="H181" s="26" t="s">
        <v>167</v>
      </c>
      <c r="I181" s="26" t="s">
        <v>175</v>
      </c>
      <c r="J181" s="26">
        <v>33</v>
      </c>
      <c r="K181" s="26">
        <v>34</v>
      </c>
      <c r="L181" s="26">
        <v>36</v>
      </c>
      <c r="M181" s="32">
        <v>0.91667</v>
      </c>
      <c r="N181" s="32">
        <v>0.94444</v>
      </c>
      <c r="O181" s="26">
        <v>3.44</v>
      </c>
      <c r="P181" s="26">
        <v>3.375</v>
      </c>
      <c r="Q181" s="26">
        <v>0.2</v>
      </c>
      <c r="R181" s="26">
        <v>607.5</v>
      </c>
      <c r="S181" s="26">
        <v>3.47</v>
      </c>
    </row>
    <row r="182" spans="1:19">
      <c r="A182" s="30" t="s">
        <v>58</v>
      </c>
      <c r="B182" s="30" t="s">
        <v>22</v>
      </c>
      <c r="C182" s="30">
        <v>201710</v>
      </c>
      <c r="D182" s="30">
        <v>11029</v>
      </c>
      <c r="E182" s="30" t="s">
        <v>111</v>
      </c>
      <c r="F182" s="30" t="s">
        <v>156</v>
      </c>
      <c r="G182" s="30" t="s">
        <v>148</v>
      </c>
      <c r="H182" s="30" t="s">
        <v>167</v>
      </c>
      <c r="I182" s="30" t="s">
        <v>182</v>
      </c>
      <c r="J182" s="30">
        <v>26</v>
      </c>
      <c r="K182" s="30">
        <v>36</v>
      </c>
      <c r="L182" s="30">
        <v>39</v>
      </c>
      <c r="M182" s="31">
        <v>0.66667</v>
      </c>
      <c r="N182" s="31">
        <v>0.92308</v>
      </c>
      <c r="O182" s="30">
        <v>1.9</v>
      </c>
      <c r="P182" s="30">
        <v>3.375</v>
      </c>
      <c r="Q182" s="30">
        <v>0.2</v>
      </c>
      <c r="R182" s="30">
        <v>658.13</v>
      </c>
      <c r="S182" s="30">
        <v>3.76</v>
      </c>
    </row>
    <row r="183" spans="1:19">
      <c r="A183" s="26" t="s">
        <v>58</v>
      </c>
      <c r="B183" s="26" t="s">
        <v>23</v>
      </c>
      <c r="C183" s="26">
        <v>201715</v>
      </c>
      <c r="D183" s="26">
        <v>15094</v>
      </c>
      <c r="E183" s="26" t="s">
        <v>111</v>
      </c>
      <c r="F183" s="26" t="s">
        <v>156</v>
      </c>
      <c r="G183" s="26" t="s">
        <v>148</v>
      </c>
      <c r="H183" s="26" t="s">
        <v>167</v>
      </c>
      <c r="I183" s="26" t="s">
        <v>172</v>
      </c>
      <c r="J183" s="26">
        <v>30</v>
      </c>
      <c r="K183" s="26">
        <v>31</v>
      </c>
      <c r="L183" s="26">
        <v>31</v>
      </c>
      <c r="M183" s="32">
        <v>0.96774</v>
      </c>
      <c r="N183" s="32">
        <v>1</v>
      </c>
      <c r="O183" s="26">
        <v>3.84</v>
      </c>
      <c r="P183" s="26">
        <v>3.375</v>
      </c>
      <c r="Q183" s="26">
        <v>0.2</v>
      </c>
      <c r="R183" s="26">
        <v>523.13</v>
      </c>
      <c r="S183" s="26">
        <v>3.03</v>
      </c>
    </row>
    <row r="184" spans="1:19">
      <c r="A184" s="30" t="s">
        <v>58</v>
      </c>
      <c r="B184" s="30" t="s">
        <v>23</v>
      </c>
      <c r="C184" s="30">
        <v>201715</v>
      </c>
      <c r="D184" s="30">
        <v>15095</v>
      </c>
      <c r="E184" s="30" t="s">
        <v>111</v>
      </c>
      <c r="F184" s="30" t="s">
        <v>156</v>
      </c>
      <c r="G184" s="30" t="s">
        <v>148</v>
      </c>
      <c r="H184" s="30" t="s">
        <v>167</v>
      </c>
      <c r="I184" s="30" t="s">
        <v>178</v>
      </c>
      <c r="J184" s="30">
        <v>18</v>
      </c>
      <c r="K184" s="30">
        <v>19</v>
      </c>
      <c r="L184" s="30">
        <v>20</v>
      </c>
      <c r="M184" s="31">
        <v>0.9</v>
      </c>
      <c r="N184" s="31">
        <v>0.95</v>
      </c>
      <c r="O184" s="30">
        <v>3.05</v>
      </c>
      <c r="P184" s="30">
        <v>3.375</v>
      </c>
      <c r="Q184" s="30">
        <v>0.2</v>
      </c>
      <c r="R184" s="30">
        <v>337.5</v>
      </c>
      <c r="S184" s="30">
        <v>1.95</v>
      </c>
    </row>
    <row r="185" spans="1:19">
      <c r="A185" s="26" t="s">
        <v>58</v>
      </c>
      <c r="B185" s="26" t="s">
        <v>24</v>
      </c>
      <c r="C185" s="26">
        <v>201720</v>
      </c>
      <c r="D185" s="26">
        <v>20618</v>
      </c>
      <c r="E185" s="26" t="s">
        <v>111</v>
      </c>
      <c r="F185" s="26" t="s">
        <v>156</v>
      </c>
      <c r="G185" s="26" t="s">
        <v>148</v>
      </c>
      <c r="H185" s="26" t="s">
        <v>167</v>
      </c>
      <c r="I185" s="26" t="s">
        <v>172</v>
      </c>
      <c r="J185" s="26">
        <v>37</v>
      </c>
      <c r="K185" s="26">
        <v>38</v>
      </c>
      <c r="L185" s="26">
        <v>38</v>
      </c>
      <c r="M185" s="32">
        <v>0.97368</v>
      </c>
      <c r="N185" s="32">
        <v>1</v>
      </c>
      <c r="O185" s="26">
        <v>3.79</v>
      </c>
      <c r="P185" s="26">
        <v>3.375</v>
      </c>
      <c r="Q185" s="26">
        <v>0.2</v>
      </c>
      <c r="R185" s="26">
        <v>641.25</v>
      </c>
      <c r="S185" s="26">
        <v>3.66</v>
      </c>
    </row>
    <row r="186" spans="1:19">
      <c r="A186" s="30" t="s">
        <v>58</v>
      </c>
      <c r="B186" s="30" t="s">
        <v>24</v>
      </c>
      <c r="C186" s="30">
        <v>201720</v>
      </c>
      <c r="D186" s="30">
        <v>20619</v>
      </c>
      <c r="E186" s="30" t="s">
        <v>111</v>
      </c>
      <c r="F186" s="30" t="s">
        <v>156</v>
      </c>
      <c r="G186" s="30" t="s">
        <v>148</v>
      </c>
      <c r="H186" s="30" t="s">
        <v>167</v>
      </c>
      <c r="I186" s="30" t="s">
        <v>172</v>
      </c>
      <c r="J186" s="30">
        <v>35</v>
      </c>
      <c r="K186" s="30">
        <v>37</v>
      </c>
      <c r="L186" s="30">
        <v>38</v>
      </c>
      <c r="M186" s="31">
        <v>0.92105</v>
      </c>
      <c r="N186" s="31">
        <v>0.97368</v>
      </c>
      <c r="O186" s="30">
        <v>3.37</v>
      </c>
      <c r="P186" s="30">
        <v>3.375</v>
      </c>
      <c r="Q186" s="30">
        <v>0.2</v>
      </c>
      <c r="R186" s="30">
        <v>641.25</v>
      </c>
      <c r="S186" s="30">
        <v>3.66</v>
      </c>
    </row>
    <row r="187" spans="1:19">
      <c r="A187" s="26" t="s">
        <v>58</v>
      </c>
      <c r="B187" s="26" t="s">
        <v>24</v>
      </c>
      <c r="C187" s="26">
        <v>201720</v>
      </c>
      <c r="D187" s="26">
        <v>20620</v>
      </c>
      <c r="E187" s="26" t="s">
        <v>111</v>
      </c>
      <c r="F187" s="26" t="s">
        <v>156</v>
      </c>
      <c r="G187" s="26" t="s">
        <v>148</v>
      </c>
      <c r="H187" s="26" t="s">
        <v>167</v>
      </c>
      <c r="I187" s="26" t="s">
        <v>170</v>
      </c>
      <c r="J187" s="26">
        <v>43</v>
      </c>
      <c r="K187" s="26">
        <v>51</v>
      </c>
      <c r="L187" s="26">
        <v>53</v>
      </c>
      <c r="M187" s="32">
        <v>0.81132</v>
      </c>
      <c r="N187" s="32">
        <v>0.96226</v>
      </c>
      <c r="O187" s="26">
        <v>2.51</v>
      </c>
      <c r="P187" s="26">
        <v>3.375</v>
      </c>
      <c r="Q187" s="26">
        <v>0.33</v>
      </c>
      <c r="R187" s="26">
        <v>542.05</v>
      </c>
      <c r="S187" s="26">
        <v>5.1</v>
      </c>
    </row>
    <row r="188" spans="1:19">
      <c r="A188" s="30" t="s">
        <v>58</v>
      </c>
      <c r="B188" s="30" t="s">
        <v>24</v>
      </c>
      <c r="C188" s="30">
        <v>201720</v>
      </c>
      <c r="D188" s="30">
        <v>20622</v>
      </c>
      <c r="E188" s="30" t="s">
        <v>111</v>
      </c>
      <c r="F188" s="30" t="s">
        <v>156</v>
      </c>
      <c r="G188" s="30" t="s">
        <v>148</v>
      </c>
      <c r="H188" s="30" t="s">
        <v>167</v>
      </c>
      <c r="I188" s="30" t="s">
        <v>170</v>
      </c>
      <c r="J188" s="30">
        <v>30</v>
      </c>
      <c r="K188" s="30">
        <v>35</v>
      </c>
      <c r="L188" s="30">
        <v>37</v>
      </c>
      <c r="M188" s="31">
        <v>0.81081</v>
      </c>
      <c r="N188" s="31">
        <v>0.94595</v>
      </c>
      <c r="O188" s="30">
        <v>2.62</v>
      </c>
      <c r="P188" s="30">
        <v>3.375</v>
      </c>
      <c r="Q188" s="30">
        <v>0.2</v>
      </c>
      <c r="R188" s="30">
        <v>624.38</v>
      </c>
      <c r="S188" s="30">
        <v>3.56</v>
      </c>
    </row>
    <row r="189" spans="1:19">
      <c r="A189" s="26" t="s">
        <v>58</v>
      </c>
      <c r="B189" s="26" t="s">
        <v>24</v>
      </c>
      <c r="C189" s="26">
        <v>201720</v>
      </c>
      <c r="D189" s="26">
        <v>20624</v>
      </c>
      <c r="E189" s="26" t="s">
        <v>111</v>
      </c>
      <c r="F189" s="26" t="s">
        <v>156</v>
      </c>
      <c r="G189" s="26" t="s">
        <v>148</v>
      </c>
      <c r="H189" s="26" t="s">
        <v>167</v>
      </c>
      <c r="I189" s="26" t="s">
        <v>172</v>
      </c>
      <c r="J189" s="26">
        <v>23</v>
      </c>
      <c r="K189" s="26">
        <v>29</v>
      </c>
      <c r="L189" s="26">
        <v>32</v>
      </c>
      <c r="M189" s="32">
        <v>0.71875</v>
      </c>
      <c r="N189" s="32">
        <v>0.90625</v>
      </c>
      <c r="O189" s="26">
        <v>2.81</v>
      </c>
      <c r="P189" s="26">
        <v>3.375</v>
      </c>
      <c r="Q189" s="26">
        <v>0.2</v>
      </c>
      <c r="R189" s="26">
        <v>540</v>
      </c>
      <c r="S189" s="26">
        <v>3.08</v>
      </c>
    </row>
    <row r="190" spans="1:19">
      <c r="A190" s="30" t="s">
        <v>58</v>
      </c>
      <c r="B190" s="30" t="s">
        <v>24</v>
      </c>
      <c r="C190" s="30">
        <v>201720</v>
      </c>
      <c r="D190" s="30">
        <v>20625</v>
      </c>
      <c r="E190" s="30" t="s">
        <v>111</v>
      </c>
      <c r="F190" s="30" t="s">
        <v>156</v>
      </c>
      <c r="G190" s="30" t="s">
        <v>149</v>
      </c>
      <c r="H190" s="30" t="s">
        <v>167</v>
      </c>
      <c r="I190" s="30" t="s">
        <v>175</v>
      </c>
      <c r="J190" s="30">
        <v>22</v>
      </c>
      <c r="K190" s="30">
        <v>25</v>
      </c>
      <c r="L190" s="30">
        <v>28</v>
      </c>
      <c r="M190" s="31">
        <v>0.78571</v>
      </c>
      <c r="N190" s="31">
        <v>0.89286</v>
      </c>
      <c r="O190" s="30">
        <v>3.11</v>
      </c>
      <c r="P190" s="30">
        <v>3.375</v>
      </c>
      <c r="Q190" s="30">
        <v>0.2</v>
      </c>
      <c r="R190" s="30">
        <v>472.5</v>
      </c>
      <c r="S190" s="30">
        <v>2.7</v>
      </c>
    </row>
    <row r="191" spans="1:19">
      <c r="A191" s="26" t="s">
        <v>58</v>
      </c>
      <c r="B191" s="26" t="s">
        <v>24</v>
      </c>
      <c r="C191" s="26">
        <v>201720</v>
      </c>
      <c r="D191" s="26">
        <v>20626</v>
      </c>
      <c r="E191" s="26" t="s">
        <v>111</v>
      </c>
      <c r="F191" s="26" t="s">
        <v>156</v>
      </c>
      <c r="G191" s="26" t="s">
        <v>149</v>
      </c>
      <c r="H191" s="26" t="s">
        <v>167</v>
      </c>
      <c r="I191" s="26" t="s">
        <v>168</v>
      </c>
      <c r="J191" s="26">
        <v>20</v>
      </c>
      <c r="K191" s="26">
        <v>27</v>
      </c>
      <c r="L191" s="26">
        <v>28</v>
      </c>
      <c r="M191" s="32">
        <v>0.71429</v>
      </c>
      <c r="N191" s="32">
        <v>0.96429</v>
      </c>
      <c r="O191" s="26">
        <v>2.29</v>
      </c>
      <c r="P191" s="26">
        <v>3.375</v>
      </c>
      <c r="Q191" s="26">
        <v>0.2</v>
      </c>
      <c r="R191" s="26">
        <v>472.5</v>
      </c>
      <c r="S191" s="26">
        <v>2.7</v>
      </c>
    </row>
    <row r="192" spans="1:19">
      <c r="A192" s="30" t="s">
        <v>58</v>
      </c>
      <c r="B192" s="30" t="s">
        <v>24</v>
      </c>
      <c r="C192" s="30">
        <v>201720</v>
      </c>
      <c r="D192" s="30">
        <v>21047</v>
      </c>
      <c r="E192" s="30" t="s">
        <v>111</v>
      </c>
      <c r="F192" s="30" t="s">
        <v>156</v>
      </c>
      <c r="G192" s="30" t="s">
        <v>149</v>
      </c>
      <c r="H192" s="30" t="s">
        <v>167</v>
      </c>
      <c r="I192" s="30" t="s">
        <v>182</v>
      </c>
      <c r="J192" s="30">
        <v>9</v>
      </c>
      <c r="K192" s="30">
        <v>25</v>
      </c>
      <c r="L192" s="30">
        <v>30</v>
      </c>
      <c r="M192" s="31">
        <v>0.3</v>
      </c>
      <c r="N192" s="31">
        <v>0.83333</v>
      </c>
      <c r="O192" s="30">
        <v>0.9</v>
      </c>
      <c r="P192" s="30">
        <v>3.375</v>
      </c>
      <c r="Q192" s="30">
        <v>0.2</v>
      </c>
      <c r="R192" s="30">
        <v>506.25</v>
      </c>
      <c r="S192" s="30">
        <v>2.89</v>
      </c>
    </row>
    <row r="193" spans="1:19">
      <c r="A193" s="26" t="s">
        <v>58</v>
      </c>
      <c r="B193" s="26" t="s">
        <v>25</v>
      </c>
      <c r="C193" s="26">
        <v>201730</v>
      </c>
      <c r="D193" s="26">
        <v>30066</v>
      </c>
      <c r="E193" s="26" t="s">
        <v>111</v>
      </c>
      <c r="F193" s="26" t="s">
        <v>156</v>
      </c>
      <c r="G193" s="26" t="s">
        <v>148</v>
      </c>
      <c r="H193" s="26" t="s">
        <v>167</v>
      </c>
      <c r="I193" s="26" t="s">
        <v>178</v>
      </c>
      <c r="J193" s="26">
        <v>50</v>
      </c>
      <c r="K193" s="26">
        <v>50</v>
      </c>
      <c r="L193" s="26">
        <v>51</v>
      </c>
      <c r="M193" s="32">
        <v>0.98039</v>
      </c>
      <c r="N193" s="32">
        <v>0.98039</v>
      </c>
      <c r="O193" s="26">
        <v>3.73</v>
      </c>
      <c r="P193" s="26">
        <v>3.375</v>
      </c>
      <c r="Q193" s="26">
        <v>0.33</v>
      </c>
      <c r="R193" s="26">
        <v>521.59</v>
      </c>
      <c r="S193" s="26">
        <v>4.98</v>
      </c>
    </row>
    <row r="194" spans="1:19">
      <c r="A194" s="30" t="s">
        <v>58</v>
      </c>
      <c r="B194" s="30" t="s">
        <v>25</v>
      </c>
      <c r="C194" s="30">
        <v>201730</v>
      </c>
      <c r="D194" s="30">
        <v>30067</v>
      </c>
      <c r="E194" s="30" t="s">
        <v>111</v>
      </c>
      <c r="F194" s="30" t="s">
        <v>156</v>
      </c>
      <c r="G194" s="30" t="s">
        <v>149</v>
      </c>
      <c r="H194" s="30" t="s">
        <v>167</v>
      </c>
      <c r="I194" s="30" t="s">
        <v>175</v>
      </c>
      <c r="J194" s="30">
        <v>23</v>
      </c>
      <c r="K194" s="30">
        <v>23</v>
      </c>
      <c r="L194" s="30">
        <v>24</v>
      </c>
      <c r="M194" s="31">
        <v>0.95833</v>
      </c>
      <c r="N194" s="31">
        <v>0.95833</v>
      </c>
      <c r="O194" s="30">
        <v>3.83</v>
      </c>
      <c r="P194" s="30">
        <v>3.375</v>
      </c>
      <c r="Q194" s="30">
        <v>0.2</v>
      </c>
      <c r="R194" s="30">
        <v>405</v>
      </c>
      <c r="S194" s="30">
        <v>2.34</v>
      </c>
    </row>
    <row r="195" spans="1:19">
      <c r="A195" s="26" t="s">
        <v>1</v>
      </c>
      <c r="B195" s="26" t="s">
        <v>26</v>
      </c>
      <c r="C195" s="26">
        <v>201810</v>
      </c>
      <c r="D195" s="26">
        <v>10624</v>
      </c>
      <c r="E195" s="26" t="s">
        <v>111</v>
      </c>
      <c r="F195" s="26" t="s">
        <v>156</v>
      </c>
      <c r="G195" s="26" t="s">
        <v>148</v>
      </c>
      <c r="H195" s="26" t="s">
        <v>167</v>
      </c>
      <c r="I195" s="26" t="s">
        <v>170</v>
      </c>
      <c r="J195" s="26">
        <v>55</v>
      </c>
      <c r="K195" s="26">
        <v>68</v>
      </c>
      <c r="L195" s="26">
        <v>81</v>
      </c>
      <c r="M195" s="32">
        <v>0.67901</v>
      </c>
      <c r="N195" s="32">
        <v>0.83951</v>
      </c>
      <c r="O195" s="26">
        <v>2.26</v>
      </c>
      <c r="P195" s="26">
        <v>3.375</v>
      </c>
      <c r="Q195" s="26">
        <v>0.2</v>
      </c>
      <c r="R195" s="26">
        <v>1366.88</v>
      </c>
      <c r="S195" s="26">
        <v>7.8</v>
      </c>
    </row>
    <row r="196" spans="1:19">
      <c r="A196" s="30" t="s">
        <v>1</v>
      </c>
      <c r="B196" s="30" t="s">
        <v>26</v>
      </c>
      <c r="C196" s="30">
        <v>201810</v>
      </c>
      <c r="D196" s="30">
        <v>10626</v>
      </c>
      <c r="E196" s="30" t="s">
        <v>111</v>
      </c>
      <c r="F196" s="30" t="s">
        <v>156</v>
      </c>
      <c r="G196" s="30" t="s">
        <v>148</v>
      </c>
      <c r="H196" s="30" t="s">
        <v>167</v>
      </c>
      <c r="I196" s="30" t="s">
        <v>170</v>
      </c>
      <c r="J196" s="30">
        <v>35</v>
      </c>
      <c r="K196" s="30">
        <v>40</v>
      </c>
      <c r="L196" s="30">
        <v>46</v>
      </c>
      <c r="M196" s="31">
        <v>0.76087</v>
      </c>
      <c r="N196" s="31">
        <v>0.86957</v>
      </c>
      <c r="O196" s="30">
        <v>2.33</v>
      </c>
      <c r="P196" s="30">
        <v>3.375</v>
      </c>
      <c r="Q196" s="30">
        <v>0.2</v>
      </c>
      <c r="R196" s="30">
        <v>776.25</v>
      </c>
      <c r="S196" s="30">
        <v>4.43</v>
      </c>
    </row>
    <row r="197" spans="1:19">
      <c r="A197" s="26" t="s">
        <v>1</v>
      </c>
      <c r="B197" s="26" t="s">
        <v>26</v>
      </c>
      <c r="C197" s="26">
        <v>201810</v>
      </c>
      <c r="D197" s="26">
        <v>10628</v>
      </c>
      <c r="E197" s="26" t="s">
        <v>111</v>
      </c>
      <c r="F197" s="26" t="s">
        <v>156</v>
      </c>
      <c r="G197" s="26" t="s">
        <v>148</v>
      </c>
      <c r="H197" s="26" t="s">
        <v>167</v>
      </c>
      <c r="I197" s="26" t="s">
        <v>172</v>
      </c>
      <c r="J197" s="26">
        <v>36</v>
      </c>
      <c r="K197" s="26">
        <v>43</v>
      </c>
      <c r="L197" s="26">
        <v>44</v>
      </c>
      <c r="M197" s="32">
        <v>0.81818</v>
      </c>
      <c r="N197" s="32">
        <v>0.97727</v>
      </c>
      <c r="O197" s="26">
        <v>3.05</v>
      </c>
      <c r="P197" s="26">
        <v>3.375</v>
      </c>
      <c r="Q197" s="26">
        <v>0.2</v>
      </c>
      <c r="R197" s="26">
        <v>742.5</v>
      </c>
      <c r="S197" s="26">
        <v>4.24</v>
      </c>
    </row>
    <row r="198" spans="1:19">
      <c r="A198" s="30" t="s">
        <v>1</v>
      </c>
      <c r="B198" s="30" t="s">
        <v>26</v>
      </c>
      <c r="C198" s="30">
        <v>201810</v>
      </c>
      <c r="D198" s="30">
        <v>10629</v>
      </c>
      <c r="E198" s="30" t="s">
        <v>111</v>
      </c>
      <c r="F198" s="30" t="s">
        <v>156</v>
      </c>
      <c r="G198" s="30" t="s">
        <v>149</v>
      </c>
      <c r="H198" s="30" t="s">
        <v>167</v>
      </c>
      <c r="I198" s="30" t="s">
        <v>175</v>
      </c>
      <c r="J198" s="30">
        <v>33</v>
      </c>
      <c r="K198" s="30">
        <v>34</v>
      </c>
      <c r="L198" s="30">
        <v>37</v>
      </c>
      <c r="M198" s="31">
        <v>0.89189</v>
      </c>
      <c r="N198" s="31">
        <v>0.91892</v>
      </c>
      <c r="O198" s="30">
        <v>3.32</v>
      </c>
      <c r="P198" s="30">
        <v>3.375</v>
      </c>
      <c r="Q198" s="30">
        <v>0.2</v>
      </c>
      <c r="R198" s="30">
        <v>624.38</v>
      </c>
      <c r="S198" s="30">
        <v>3.56</v>
      </c>
    </row>
    <row r="199" spans="1:19">
      <c r="A199" s="26" t="s">
        <v>1</v>
      </c>
      <c r="B199" s="26" t="s">
        <v>26</v>
      </c>
      <c r="C199" s="26">
        <v>201810</v>
      </c>
      <c r="D199" s="26">
        <v>10630</v>
      </c>
      <c r="E199" s="26" t="s">
        <v>111</v>
      </c>
      <c r="F199" s="26" t="s">
        <v>156</v>
      </c>
      <c r="G199" s="26" t="s">
        <v>149</v>
      </c>
      <c r="H199" s="26" t="s">
        <v>167</v>
      </c>
      <c r="I199" s="26" t="s">
        <v>174</v>
      </c>
      <c r="J199" s="26">
        <v>36</v>
      </c>
      <c r="K199" s="26">
        <v>38</v>
      </c>
      <c r="L199" s="26">
        <v>39</v>
      </c>
      <c r="M199" s="32">
        <v>0.92308</v>
      </c>
      <c r="N199" s="32">
        <v>0.97436</v>
      </c>
      <c r="O199" s="26">
        <v>2.9</v>
      </c>
      <c r="P199" s="26">
        <v>3.375</v>
      </c>
      <c r="Q199" s="26">
        <v>0.2</v>
      </c>
      <c r="R199" s="26">
        <v>658.13</v>
      </c>
      <c r="S199" s="26">
        <v>3.76</v>
      </c>
    </row>
    <row r="200" spans="1:19">
      <c r="A200" s="30" t="s">
        <v>1</v>
      </c>
      <c r="B200" s="30" t="s">
        <v>26</v>
      </c>
      <c r="C200" s="30">
        <v>201810</v>
      </c>
      <c r="D200" s="30">
        <v>11029</v>
      </c>
      <c r="E200" s="30" t="s">
        <v>111</v>
      </c>
      <c r="F200" s="30" t="s">
        <v>156</v>
      </c>
      <c r="G200" s="30" t="s">
        <v>148</v>
      </c>
      <c r="H200" s="30" t="s">
        <v>167</v>
      </c>
      <c r="I200" s="30" t="s">
        <v>172</v>
      </c>
      <c r="J200" s="30">
        <v>32</v>
      </c>
      <c r="K200" s="30">
        <v>37</v>
      </c>
      <c r="L200" s="30">
        <v>37</v>
      </c>
      <c r="M200" s="31">
        <v>0.86486</v>
      </c>
      <c r="N200" s="31">
        <v>1</v>
      </c>
      <c r="O200" s="30">
        <v>3.35</v>
      </c>
      <c r="P200" s="30">
        <v>3.375</v>
      </c>
      <c r="Q200" s="30">
        <v>0.2</v>
      </c>
      <c r="R200" s="30">
        <v>624.38</v>
      </c>
      <c r="S200" s="30">
        <v>3.56</v>
      </c>
    </row>
    <row r="201" spans="1:19">
      <c r="A201" s="26" t="s">
        <v>1</v>
      </c>
      <c r="B201" s="26" t="s">
        <v>27</v>
      </c>
      <c r="C201" s="26">
        <v>201815</v>
      </c>
      <c r="D201" s="26">
        <v>15094</v>
      </c>
      <c r="E201" s="26" t="s">
        <v>111</v>
      </c>
      <c r="F201" s="26" t="s">
        <v>156</v>
      </c>
      <c r="G201" s="26" t="s">
        <v>148</v>
      </c>
      <c r="H201" s="26" t="s">
        <v>167</v>
      </c>
      <c r="I201" s="26" t="s">
        <v>172</v>
      </c>
      <c r="J201" s="26">
        <v>44</v>
      </c>
      <c r="K201" s="26">
        <v>44</v>
      </c>
      <c r="L201" s="26">
        <v>44</v>
      </c>
      <c r="M201" s="32">
        <v>1</v>
      </c>
      <c r="N201" s="32">
        <v>1</v>
      </c>
      <c r="O201" s="26">
        <v>3.93</v>
      </c>
      <c r="P201" s="26">
        <v>3.375</v>
      </c>
      <c r="Q201" s="26">
        <v>0.2</v>
      </c>
      <c r="R201" s="26">
        <v>742.5</v>
      </c>
      <c r="S201" s="26">
        <v>4.3</v>
      </c>
    </row>
    <row r="202" spans="1:19">
      <c r="A202" s="30" t="s">
        <v>1</v>
      </c>
      <c r="B202" s="30" t="s">
        <v>28</v>
      </c>
      <c r="C202" s="30">
        <v>201820</v>
      </c>
      <c r="D202" s="30">
        <v>20618</v>
      </c>
      <c r="E202" s="30" t="s">
        <v>111</v>
      </c>
      <c r="F202" s="30" t="s">
        <v>156</v>
      </c>
      <c r="G202" s="30" t="s">
        <v>148</v>
      </c>
      <c r="H202" s="30" t="s">
        <v>167</v>
      </c>
      <c r="I202" s="30" t="s">
        <v>175</v>
      </c>
      <c r="J202" s="30">
        <v>32</v>
      </c>
      <c r="K202" s="30">
        <v>36</v>
      </c>
      <c r="L202" s="30">
        <v>40</v>
      </c>
      <c r="M202" s="31">
        <v>0.8</v>
      </c>
      <c r="N202" s="31">
        <v>0.9</v>
      </c>
      <c r="O202" s="30">
        <v>3</v>
      </c>
      <c r="P202" s="30">
        <v>3.375</v>
      </c>
      <c r="Q202" s="30">
        <v>0.2</v>
      </c>
      <c r="R202" s="30">
        <v>675</v>
      </c>
      <c r="S202" s="30">
        <v>3.85</v>
      </c>
    </row>
    <row r="203" spans="1:19">
      <c r="A203" s="26" t="s">
        <v>1</v>
      </c>
      <c r="B203" s="26" t="s">
        <v>28</v>
      </c>
      <c r="C203" s="26">
        <v>201820</v>
      </c>
      <c r="D203" s="26">
        <v>20620</v>
      </c>
      <c r="E203" s="26" t="s">
        <v>111</v>
      </c>
      <c r="F203" s="26" t="s">
        <v>156</v>
      </c>
      <c r="G203" s="26" t="s">
        <v>148</v>
      </c>
      <c r="H203" s="26" t="s">
        <v>167</v>
      </c>
      <c r="I203" s="26" t="s">
        <v>171</v>
      </c>
      <c r="J203" s="26">
        <v>38</v>
      </c>
      <c r="K203" s="26">
        <v>43</v>
      </c>
      <c r="L203" s="26">
        <v>44</v>
      </c>
      <c r="M203" s="32">
        <v>0.86364</v>
      </c>
      <c r="N203" s="32">
        <v>0.97727</v>
      </c>
      <c r="O203" s="26">
        <v>2.91</v>
      </c>
      <c r="P203" s="26">
        <v>3.375</v>
      </c>
      <c r="Q203" s="26">
        <v>0.2</v>
      </c>
      <c r="R203" s="26">
        <v>742.5</v>
      </c>
      <c r="S203" s="26">
        <v>4.24</v>
      </c>
    </row>
    <row r="204" spans="1:19">
      <c r="A204" s="30" t="s">
        <v>1</v>
      </c>
      <c r="B204" s="30" t="s">
        <v>28</v>
      </c>
      <c r="C204" s="30">
        <v>201820</v>
      </c>
      <c r="D204" s="30">
        <v>20622</v>
      </c>
      <c r="E204" s="30" t="s">
        <v>111</v>
      </c>
      <c r="F204" s="30" t="s">
        <v>156</v>
      </c>
      <c r="G204" s="30" t="s">
        <v>148</v>
      </c>
      <c r="H204" s="30" t="s">
        <v>167</v>
      </c>
      <c r="I204" s="30" t="s">
        <v>170</v>
      </c>
      <c r="J204" s="30">
        <v>57</v>
      </c>
      <c r="K204" s="30">
        <v>72</v>
      </c>
      <c r="L204" s="30">
        <v>76</v>
      </c>
      <c r="M204" s="31">
        <v>0.75</v>
      </c>
      <c r="N204" s="31">
        <v>0.94737</v>
      </c>
      <c r="O204" s="30">
        <v>2.61</v>
      </c>
      <c r="P204" s="30">
        <v>3.375</v>
      </c>
      <c r="Q204" s="30">
        <v>0.2</v>
      </c>
      <c r="R204" s="30">
        <v>1282.5</v>
      </c>
      <c r="S204" s="30">
        <v>7.32</v>
      </c>
    </row>
    <row r="205" spans="1:19">
      <c r="A205" s="26" t="s">
        <v>1</v>
      </c>
      <c r="B205" s="26" t="s">
        <v>28</v>
      </c>
      <c r="C205" s="26">
        <v>201820</v>
      </c>
      <c r="D205" s="26">
        <v>20623</v>
      </c>
      <c r="E205" s="26" t="s">
        <v>111</v>
      </c>
      <c r="F205" s="26" t="s">
        <v>156</v>
      </c>
      <c r="G205" s="26" t="s">
        <v>148</v>
      </c>
      <c r="H205" s="26" t="s">
        <v>167</v>
      </c>
      <c r="I205" s="26" t="s">
        <v>172</v>
      </c>
      <c r="J205" s="26">
        <v>37</v>
      </c>
      <c r="K205" s="26">
        <v>39</v>
      </c>
      <c r="L205" s="26">
        <v>40</v>
      </c>
      <c r="M205" s="32">
        <v>0.925</v>
      </c>
      <c r="N205" s="32">
        <v>0.975</v>
      </c>
      <c r="O205" s="26">
        <v>3.5</v>
      </c>
      <c r="P205" s="26">
        <v>3.375</v>
      </c>
      <c r="Q205" s="26">
        <v>0.2</v>
      </c>
      <c r="R205" s="26">
        <v>675</v>
      </c>
      <c r="S205" s="26">
        <v>3.85</v>
      </c>
    </row>
    <row r="206" spans="1:19">
      <c r="A206" s="30" t="s">
        <v>1</v>
      </c>
      <c r="B206" s="30" t="s">
        <v>28</v>
      </c>
      <c r="C206" s="30">
        <v>201820</v>
      </c>
      <c r="D206" s="30">
        <v>20626</v>
      </c>
      <c r="E206" s="30" t="s">
        <v>111</v>
      </c>
      <c r="F206" s="30" t="s">
        <v>156</v>
      </c>
      <c r="G206" s="30" t="s">
        <v>149</v>
      </c>
      <c r="H206" s="30" t="s">
        <v>167</v>
      </c>
      <c r="I206" s="30" t="s">
        <v>174</v>
      </c>
      <c r="J206" s="30">
        <v>29</v>
      </c>
      <c r="K206" s="30">
        <v>29</v>
      </c>
      <c r="L206" s="30">
        <v>35</v>
      </c>
      <c r="M206" s="31">
        <v>0.82857</v>
      </c>
      <c r="N206" s="31">
        <v>0.82857</v>
      </c>
      <c r="O206" s="30">
        <v>2.34</v>
      </c>
      <c r="P206" s="30">
        <v>3.375</v>
      </c>
      <c r="Q206" s="30">
        <v>0.2</v>
      </c>
      <c r="R206" s="30">
        <v>590.63</v>
      </c>
      <c r="S206" s="30">
        <v>3.37</v>
      </c>
    </row>
    <row r="207" spans="1:19">
      <c r="A207" s="26" t="s">
        <v>1</v>
      </c>
      <c r="B207" s="26" t="s">
        <v>28</v>
      </c>
      <c r="C207" s="26">
        <v>201820</v>
      </c>
      <c r="D207" s="26">
        <v>21047</v>
      </c>
      <c r="E207" s="26" t="s">
        <v>111</v>
      </c>
      <c r="F207" s="26" t="s">
        <v>156</v>
      </c>
      <c r="G207" s="26" t="s">
        <v>148</v>
      </c>
      <c r="H207" s="26" t="s">
        <v>167</v>
      </c>
      <c r="I207" s="26" t="s">
        <v>170</v>
      </c>
      <c r="J207" s="26">
        <v>33</v>
      </c>
      <c r="K207" s="26">
        <v>38</v>
      </c>
      <c r="L207" s="26">
        <v>40</v>
      </c>
      <c r="M207" s="32">
        <v>0.825</v>
      </c>
      <c r="N207" s="32">
        <v>0.95</v>
      </c>
      <c r="O207" s="26">
        <v>3</v>
      </c>
      <c r="P207" s="26">
        <v>3.375</v>
      </c>
      <c r="Q207" s="26">
        <v>0.2</v>
      </c>
      <c r="R207" s="26">
        <v>675</v>
      </c>
      <c r="S207" s="26">
        <v>3.85</v>
      </c>
    </row>
    <row r="208" spans="1:19">
      <c r="A208" s="30" t="s">
        <v>1</v>
      </c>
      <c r="B208" s="30" t="s">
        <v>28</v>
      </c>
      <c r="C208" s="30">
        <v>201820</v>
      </c>
      <c r="D208" s="30">
        <v>21234</v>
      </c>
      <c r="E208" s="30" t="s">
        <v>111</v>
      </c>
      <c r="F208" s="30" t="s">
        <v>156</v>
      </c>
      <c r="G208" s="30" t="s">
        <v>150</v>
      </c>
      <c r="H208" s="30" t="s">
        <v>167</v>
      </c>
      <c r="I208" s="30" t="s">
        <v>168</v>
      </c>
      <c r="J208" s="30">
        <v>29</v>
      </c>
      <c r="K208" s="30">
        <v>35</v>
      </c>
      <c r="L208" s="30">
        <v>36</v>
      </c>
      <c r="M208" s="31">
        <v>0.80556</v>
      </c>
      <c r="N208" s="31">
        <v>0.97222</v>
      </c>
      <c r="O208" s="30">
        <v>2.53</v>
      </c>
      <c r="P208" s="30">
        <v>3.375</v>
      </c>
      <c r="Q208" s="30">
        <v>0.2</v>
      </c>
      <c r="R208" s="30">
        <v>607.5</v>
      </c>
      <c r="S208" s="30">
        <v>3.06</v>
      </c>
    </row>
    <row r="209" spans="1:19">
      <c r="A209" s="26" t="s">
        <v>1</v>
      </c>
      <c r="B209" s="26" t="s">
        <v>29</v>
      </c>
      <c r="C209" s="26">
        <v>201830</v>
      </c>
      <c r="D209" s="26">
        <v>30066</v>
      </c>
      <c r="E209" s="26" t="s">
        <v>111</v>
      </c>
      <c r="F209" s="26" t="s">
        <v>156</v>
      </c>
      <c r="G209" s="26" t="s">
        <v>148</v>
      </c>
      <c r="H209" s="26" t="s">
        <v>167</v>
      </c>
      <c r="I209" s="26" t="s">
        <v>175</v>
      </c>
      <c r="J209" s="26">
        <v>38</v>
      </c>
      <c r="K209" s="26">
        <v>39</v>
      </c>
      <c r="L209" s="26">
        <v>40</v>
      </c>
      <c r="M209" s="32">
        <v>0.95</v>
      </c>
      <c r="N209" s="32">
        <v>0.975</v>
      </c>
      <c r="O209" s="26">
        <v>3.8</v>
      </c>
      <c r="P209" s="26">
        <v>3.375</v>
      </c>
      <c r="Q209" s="26">
        <v>0.2</v>
      </c>
      <c r="R209" s="26">
        <v>675</v>
      </c>
      <c r="S209" s="26">
        <v>3.91</v>
      </c>
    </row>
    <row r="210" spans="1:19">
      <c r="A210" s="30" t="s">
        <v>1</v>
      </c>
      <c r="B210" s="30" t="s">
        <v>29</v>
      </c>
      <c r="C210" s="30">
        <v>201830</v>
      </c>
      <c r="D210" s="30">
        <v>30214</v>
      </c>
      <c r="E210" s="30" t="s">
        <v>111</v>
      </c>
      <c r="F210" s="30" t="s">
        <v>156</v>
      </c>
      <c r="G210" s="30" t="s">
        <v>148</v>
      </c>
      <c r="H210" s="30" t="s">
        <v>167</v>
      </c>
      <c r="I210" s="30" t="s">
        <v>174</v>
      </c>
      <c r="J210" s="30">
        <v>25</v>
      </c>
      <c r="K210" s="30">
        <v>25</v>
      </c>
      <c r="L210" s="30">
        <v>25</v>
      </c>
      <c r="M210" s="31">
        <v>1</v>
      </c>
      <c r="N210" s="31">
        <v>1</v>
      </c>
      <c r="O210" s="30">
        <v>3.2</v>
      </c>
      <c r="P210" s="30">
        <v>3.375</v>
      </c>
      <c r="Q210" s="30">
        <v>0.2</v>
      </c>
      <c r="R210" s="30">
        <v>421.88</v>
      </c>
      <c r="S210" s="30">
        <v>0</v>
      </c>
    </row>
    <row r="211" spans="1:19">
      <c r="A211" s="26" t="s">
        <v>57</v>
      </c>
      <c r="B211" s="26" t="s">
        <v>18</v>
      </c>
      <c r="C211" s="26">
        <v>201610</v>
      </c>
      <c r="D211" s="26">
        <v>10645</v>
      </c>
      <c r="E211" s="26" t="s">
        <v>111</v>
      </c>
      <c r="F211" s="26" t="s">
        <v>157</v>
      </c>
      <c r="G211" s="26" t="s">
        <v>148</v>
      </c>
      <c r="H211" s="26" t="s">
        <v>167</v>
      </c>
      <c r="I211" s="26" t="s">
        <v>172</v>
      </c>
      <c r="J211" s="26">
        <v>32</v>
      </c>
      <c r="K211" s="26">
        <v>34</v>
      </c>
      <c r="L211" s="26">
        <v>34</v>
      </c>
      <c r="M211" s="32">
        <v>0.94118</v>
      </c>
      <c r="N211" s="32">
        <v>1</v>
      </c>
      <c r="O211" s="26">
        <v>3.38</v>
      </c>
      <c r="P211" s="26">
        <v>3.375</v>
      </c>
      <c r="Q211" s="26">
        <v>0.2</v>
      </c>
      <c r="R211" s="26">
        <v>573.75</v>
      </c>
      <c r="S211" s="26">
        <v>3.27</v>
      </c>
    </row>
    <row r="212" spans="1:19">
      <c r="A212" s="30" t="s">
        <v>58</v>
      </c>
      <c r="B212" s="30" t="s">
        <v>22</v>
      </c>
      <c r="C212" s="30">
        <v>201710</v>
      </c>
      <c r="D212" s="30">
        <v>10645</v>
      </c>
      <c r="E212" s="30" t="s">
        <v>111</v>
      </c>
      <c r="F212" s="30" t="s">
        <v>157</v>
      </c>
      <c r="G212" s="30" t="s">
        <v>148</v>
      </c>
      <c r="H212" s="30" t="s">
        <v>167</v>
      </c>
      <c r="I212" s="30" t="s">
        <v>184</v>
      </c>
      <c r="J212" s="30">
        <v>18</v>
      </c>
      <c r="K212" s="30">
        <v>24</v>
      </c>
      <c r="L212" s="30">
        <v>26</v>
      </c>
      <c r="M212" s="31">
        <v>0.69231</v>
      </c>
      <c r="N212" s="31">
        <v>0.92308</v>
      </c>
      <c r="O212" s="30">
        <v>2.15</v>
      </c>
      <c r="P212" s="30">
        <v>3.375</v>
      </c>
      <c r="Q212" s="30">
        <v>0.2</v>
      </c>
      <c r="R212" s="30">
        <v>438.75</v>
      </c>
      <c r="S212" s="30">
        <v>2.5</v>
      </c>
    </row>
    <row r="213" spans="1:19">
      <c r="A213" s="26" t="s">
        <v>58</v>
      </c>
      <c r="B213" s="26" t="s">
        <v>24</v>
      </c>
      <c r="C213" s="26">
        <v>201720</v>
      </c>
      <c r="D213" s="26">
        <v>21055</v>
      </c>
      <c r="E213" s="26" t="s">
        <v>111</v>
      </c>
      <c r="F213" s="26" t="s">
        <v>157</v>
      </c>
      <c r="G213" s="26" t="s">
        <v>148</v>
      </c>
      <c r="H213" s="26" t="s">
        <v>167</v>
      </c>
      <c r="I213" s="26" t="s">
        <v>171</v>
      </c>
      <c r="J213" s="26">
        <v>36</v>
      </c>
      <c r="K213" s="26">
        <v>40</v>
      </c>
      <c r="L213" s="26">
        <v>41</v>
      </c>
      <c r="M213" s="32">
        <v>0.87805</v>
      </c>
      <c r="N213" s="32">
        <v>0.97561</v>
      </c>
      <c r="O213" s="26">
        <v>3.17</v>
      </c>
      <c r="P213" s="26">
        <v>3.375</v>
      </c>
      <c r="Q213" s="26">
        <v>0.2</v>
      </c>
      <c r="R213" s="26">
        <v>691.88</v>
      </c>
      <c r="S213" s="26">
        <v>3.95</v>
      </c>
    </row>
    <row r="214" spans="1:19">
      <c r="A214" s="30" t="s">
        <v>1</v>
      </c>
      <c r="B214" s="30" t="s">
        <v>26</v>
      </c>
      <c r="C214" s="30">
        <v>201810</v>
      </c>
      <c r="D214" s="30">
        <v>10645</v>
      </c>
      <c r="E214" s="30" t="s">
        <v>111</v>
      </c>
      <c r="F214" s="30" t="s">
        <v>157</v>
      </c>
      <c r="G214" s="30" t="s">
        <v>148</v>
      </c>
      <c r="H214" s="30" t="s">
        <v>167</v>
      </c>
      <c r="I214" s="30" t="s">
        <v>182</v>
      </c>
      <c r="J214" s="30">
        <v>19</v>
      </c>
      <c r="K214" s="30">
        <v>31</v>
      </c>
      <c r="L214" s="30">
        <v>33</v>
      </c>
      <c r="M214" s="31">
        <v>0.57576</v>
      </c>
      <c r="N214" s="31">
        <v>0.93939</v>
      </c>
      <c r="O214" s="30">
        <v>1.79</v>
      </c>
      <c r="P214" s="30">
        <v>3.375</v>
      </c>
      <c r="Q214" s="30">
        <v>0.2</v>
      </c>
      <c r="R214" s="30">
        <v>556.88</v>
      </c>
      <c r="S214" s="30">
        <v>3.18</v>
      </c>
    </row>
    <row r="215" spans="1:19">
      <c r="A215" s="26" t="s">
        <v>1</v>
      </c>
      <c r="B215" s="26" t="s">
        <v>28</v>
      </c>
      <c r="C215" s="26">
        <v>201820</v>
      </c>
      <c r="D215" s="26">
        <v>21055</v>
      </c>
      <c r="E215" s="26" t="s">
        <v>111</v>
      </c>
      <c r="F215" s="26" t="s">
        <v>157</v>
      </c>
      <c r="G215" s="26" t="s">
        <v>148</v>
      </c>
      <c r="H215" s="26" t="s">
        <v>167</v>
      </c>
      <c r="I215" s="26" t="s">
        <v>172</v>
      </c>
      <c r="J215" s="26">
        <v>35</v>
      </c>
      <c r="K215" s="26">
        <v>38</v>
      </c>
      <c r="L215" s="26">
        <v>40</v>
      </c>
      <c r="M215" s="32">
        <v>0.875</v>
      </c>
      <c r="N215" s="32">
        <v>0.95</v>
      </c>
      <c r="O215" s="26">
        <v>3.18</v>
      </c>
      <c r="P215" s="26">
        <v>3.375</v>
      </c>
      <c r="Q215" s="26">
        <v>0.2</v>
      </c>
      <c r="R215" s="26">
        <v>675</v>
      </c>
      <c r="S215" s="26">
        <v>3.85</v>
      </c>
    </row>
    <row r="216" spans="1:19">
      <c r="A216" s="30" t="s">
        <v>1</v>
      </c>
      <c r="B216" s="30" t="s">
        <v>28</v>
      </c>
      <c r="C216" s="30">
        <v>201820</v>
      </c>
      <c r="D216" s="30">
        <v>21261</v>
      </c>
      <c r="E216" s="30" t="s">
        <v>111</v>
      </c>
      <c r="F216" s="30" t="s">
        <v>157</v>
      </c>
      <c r="G216" s="30" t="s">
        <v>148</v>
      </c>
      <c r="H216" s="30" t="s">
        <v>167</v>
      </c>
      <c r="I216" s="30" t="s">
        <v>182</v>
      </c>
      <c r="J216" s="30">
        <v>22</v>
      </c>
      <c r="K216" s="30">
        <v>23</v>
      </c>
      <c r="L216" s="30">
        <v>27</v>
      </c>
      <c r="M216" s="31">
        <v>0.81481</v>
      </c>
      <c r="N216" s="31">
        <v>0.85185</v>
      </c>
      <c r="O216" s="30">
        <v>2.7</v>
      </c>
      <c r="P216" s="30">
        <v>3.375</v>
      </c>
      <c r="Q216" s="30">
        <v>0.2</v>
      </c>
      <c r="R216" s="30">
        <v>455.63</v>
      </c>
      <c r="S216" s="30">
        <v>2.6</v>
      </c>
    </row>
    <row r="217" spans="1:19">
      <c r="A217" s="26" t="s">
        <v>1</v>
      </c>
      <c r="B217" s="26" t="s">
        <v>28</v>
      </c>
      <c r="C217" s="26">
        <v>201820</v>
      </c>
      <c r="D217" s="26">
        <v>21262</v>
      </c>
      <c r="E217" s="26" t="s">
        <v>111</v>
      </c>
      <c r="F217" s="26" t="s">
        <v>157</v>
      </c>
      <c r="G217" s="26" t="s">
        <v>148</v>
      </c>
      <c r="H217" s="26" t="s">
        <v>167</v>
      </c>
      <c r="I217" s="26" t="s">
        <v>182</v>
      </c>
      <c r="J217" s="26">
        <v>26</v>
      </c>
      <c r="K217" s="26">
        <v>26</v>
      </c>
      <c r="L217" s="26">
        <v>27</v>
      </c>
      <c r="M217" s="32">
        <v>0.96296</v>
      </c>
      <c r="N217" s="32">
        <v>0.96296</v>
      </c>
      <c r="O217" s="26">
        <v>3.7</v>
      </c>
      <c r="P217" s="26">
        <v>3.375</v>
      </c>
      <c r="Q217" s="26">
        <v>0.2</v>
      </c>
      <c r="R217" s="26">
        <v>455.63</v>
      </c>
      <c r="S217" s="26">
        <v>2.6</v>
      </c>
    </row>
    <row r="218" spans="1:19">
      <c r="A218" s="30" t="s">
        <v>1</v>
      </c>
      <c r="B218" s="30" t="s">
        <v>29</v>
      </c>
      <c r="C218" s="30">
        <v>201830</v>
      </c>
      <c r="D218" s="30">
        <v>30200</v>
      </c>
      <c r="E218" s="30" t="s">
        <v>111</v>
      </c>
      <c r="F218" s="30" t="s">
        <v>157</v>
      </c>
      <c r="G218" s="30" t="s">
        <v>149</v>
      </c>
      <c r="H218" s="30" t="s">
        <v>167</v>
      </c>
      <c r="I218" s="30" t="s">
        <v>184</v>
      </c>
      <c r="J218" s="30">
        <v>26</v>
      </c>
      <c r="K218" s="30">
        <v>27</v>
      </c>
      <c r="L218" s="30">
        <v>27</v>
      </c>
      <c r="M218" s="31">
        <v>0.96296</v>
      </c>
      <c r="N218" s="31">
        <v>1</v>
      </c>
      <c r="O218" s="30">
        <v>3.85</v>
      </c>
      <c r="P218" s="30">
        <v>3.375</v>
      </c>
      <c r="Q218" s="30">
        <v>0.2</v>
      </c>
      <c r="R218" s="30">
        <v>455.63</v>
      </c>
      <c r="S218" s="30">
        <v>2.68</v>
      </c>
    </row>
    <row r="219" spans="1:19">
      <c r="A219" s="26" t="s">
        <v>57</v>
      </c>
      <c r="B219" s="26" t="s">
        <v>20</v>
      </c>
      <c r="C219" s="26">
        <v>201620</v>
      </c>
      <c r="D219" s="26">
        <v>20785</v>
      </c>
      <c r="E219" s="26" t="s">
        <v>111</v>
      </c>
      <c r="F219" s="26" t="s">
        <v>158</v>
      </c>
      <c r="G219" s="26" t="s">
        <v>148</v>
      </c>
      <c r="H219" s="26" t="s">
        <v>167</v>
      </c>
      <c r="I219" s="26" t="s">
        <v>172</v>
      </c>
      <c r="J219" s="26">
        <v>31</v>
      </c>
      <c r="K219" s="26">
        <v>33</v>
      </c>
      <c r="L219" s="26">
        <v>35</v>
      </c>
      <c r="M219" s="32">
        <v>0.88571</v>
      </c>
      <c r="N219" s="32">
        <v>0.94286</v>
      </c>
      <c r="O219" s="26">
        <v>3.17</v>
      </c>
      <c r="P219" s="26">
        <v>3.375</v>
      </c>
      <c r="Q219" s="26">
        <v>0.2</v>
      </c>
      <c r="R219" s="26">
        <v>590.63</v>
      </c>
      <c r="S219" s="26">
        <v>3.37</v>
      </c>
    </row>
    <row r="220" spans="1:19">
      <c r="A220" s="30" t="s">
        <v>58</v>
      </c>
      <c r="B220" s="30" t="s">
        <v>24</v>
      </c>
      <c r="C220" s="30">
        <v>201720</v>
      </c>
      <c r="D220" s="30">
        <v>20785</v>
      </c>
      <c r="E220" s="30" t="s">
        <v>111</v>
      </c>
      <c r="F220" s="30" t="s">
        <v>158</v>
      </c>
      <c r="G220" s="30" t="s">
        <v>148</v>
      </c>
      <c r="H220" s="30" t="s">
        <v>167</v>
      </c>
      <c r="I220" s="30" t="s">
        <v>171</v>
      </c>
      <c r="J220" s="30">
        <v>19</v>
      </c>
      <c r="K220" s="30">
        <v>26</v>
      </c>
      <c r="L220" s="30">
        <v>26</v>
      </c>
      <c r="M220" s="31">
        <v>0.73077</v>
      </c>
      <c r="N220" s="31">
        <v>1</v>
      </c>
      <c r="O220" s="30">
        <v>2.5</v>
      </c>
      <c r="P220" s="30">
        <v>3.375</v>
      </c>
      <c r="Q220" s="30">
        <v>0.2</v>
      </c>
      <c r="R220" s="30">
        <v>438.75</v>
      </c>
      <c r="S220" s="30">
        <v>2.5</v>
      </c>
    </row>
    <row r="221" spans="1:19">
      <c r="A221" s="26" t="s">
        <v>1</v>
      </c>
      <c r="B221" s="26" t="s">
        <v>28</v>
      </c>
      <c r="C221" s="26">
        <v>201820</v>
      </c>
      <c r="D221" s="26">
        <v>20785</v>
      </c>
      <c r="E221" s="26" t="s">
        <v>111</v>
      </c>
      <c r="F221" s="26" t="s">
        <v>158</v>
      </c>
      <c r="G221" s="26" t="s">
        <v>148</v>
      </c>
      <c r="H221" s="26" t="s">
        <v>167</v>
      </c>
      <c r="I221" s="26" t="s">
        <v>171</v>
      </c>
      <c r="J221" s="26">
        <v>22</v>
      </c>
      <c r="K221" s="26">
        <v>26</v>
      </c>
      <c r="L221" s="26">
        <v>31</v>
      </c>
      <c r="M221" s="32">
        <v>0.70968</v>
      </c>
      <c r="N221" s="32">
        <v>0.83871</v>
      </c>
      <c r="O221" s="26">
        <v>2.45</v>
      </c>
      <c r="P221" s="26">
        <v>3.375</v>
      </c>
      <c r="Q221" s="26">
        <v>0.2</v>
      </c>
      <c r="R221" s="26">
        <v>523.13</v>
      </c>
      <c r="S221" s="26">
        <v>2.98</v>
      </c>
    </row>
    <row r="222" spans="1:19">
      <c r="A222" s="30" t="s">
        <v>57</v>
      </c>
      <c r="B222" s="30" t="s">
        <v>18</v>
      </c>
      <c r="C222" s="30">
        <v>201610</v>
      </c>
      <c r="D222" s="30">
        <v>10631</v>
      </c>
      <c r="E222" s="30" t="s">
        <v>111</v>
      </c>
      <c r="F222" s="30" t="s">
        <v>159</v>
      </c>
      <c r="G222" s="30" t="s">
        <v>148</v>
      </c>
      <c r="H222" s="30" t="s">
        <v>167</v>
      </c>
      <c r="I222" s="30" t="s">
        <v>168</v>
      </c>
      <c r="J222" s="30">
        <v>35</v>
      </c>
      <c r="K222" s="30">
        <v>35</v>
      </c>
      <c r="L222" s="30">
        <v>35</v>
      </c>
      <c r="M222" s="31">
        <v>1</v>
      </c>
      <c r="N222" s="31">
        <v>1</v>
      </c>
      <c r="O222" s="30">
        <v>3.54</v>
      </c>
      <c r="P222" s="30">
        <v>3.375</v>
      </c>
      <c r="Q222" s="30">
        <v>0.2</v>
      </c>
      <c r="R222" s="30">
        <v>590.63</v>
      </c>
      <c r="S222" s="30">
        <v>3.37</v>
      </c>
    </row>
    <row r="223" spans="1:19">
      <c r="A223" s="26" t="s">
        <v>57</v>
      </c>
      <c r="B223" s="26" t="s">
        <v>19</v>
      </c>
      <c r="C223" s="26">
        <v>201615</v>
      </c>
      <c r="D223" s="26">
        <v>15126</v>
      </c>
      <c r="E223" s="26" t="s">
        <v>111</v>
      </c>
      <c r="F223" s="26" t="s">
        <v>159</v>
      </c>
      <c r="G223" s="26" t="s">
        <v>148</v>
      </c>
      <c r="H223" s="26" t="s">
        <v>167</v>
      </c>
      <c r="I223" s="26" t="s">
        <v>168</v>
      </c>
      <c r="J223" s="26">
        <v>26</v>
      </c>
      <c r="K223" s="26">
        <v>27</v>
      </c>
      <c r="L223" s="26">
        <v>28</v>
      </c>
      <c r="M223" s="32">
        <v>0.92857</v>
      </c>
      <c r="N223" s="32">
        <v>0.96429</v>
      </c>
      <c r="O223" s="26">
        <v>3.14</v>
      </c>
      <c r="P223" s="26">
        <v>3.375</v>
      </c>
      <c r="Q223" s="26">
        <v>0.2</v>
      </c>
      <c r="R223" s="26">
        <v>472.5</v>
      </c>
      <c r="S223" s="26">
        <v>2.74</v>
      </c>
    </row>
    <row r="224" spans="1:19">
      <c r="A224" s="30" t="s">
        <v>57</v>
      </c>
      <c r="B224" s="30" t="s">
        <v>20</v>
      </c>
      <c r="C224" s="30">
        <v>201620</v>
      </c>
      <c r="D224" s="30">
        <v>20627</v>
      </c>
      <c r="E224" s="30" t="s">
        <v>111</v>
      </c>
      <c r="F224" s="30" t="s">
        <v>159</v>
      </c>
      <c r="G224" s="30" t="s">
        <v>148</v>
      </c>
      <c r="H224" s="30" t="s">
        <v>167</v>
      </c>
      <c r="I224" s="30" t="s">
        <v>171</v>
      </c>
      <c r="J224" s="30">
        <v>43</v>
      </c>
      <c r="K224" s="30">
        <v>44</v>
      </c>
      <c r="L224" s="30">
        <v>47</v>
      </c>
      <c r="M224" s="31">
        <v>0.91489</v>
      </c>
      <c r="N224" s="31">
        <v>0.93617</v>
      </c>
      <c r="O224" s="30">
        <v>3.53</v>
      </c>
      <c r="P224" s="30">
        <v>3.375</v>
      </c>
      <c r="Q224" s="30">
        <v>0.27</v>
      </c>
      <c r="R224" s="30">
        <v>587.5</v>
      </c>
      <c r="S224" s="30">
        <v>4.53</v>
      </c>
    </row>
    <row r="225" spans="1:19">
      <c r="A225" s="26" t="s">
        <v>57</v>
      </c>
      <c r="B225" s="26" t="s">
        <v>20</v>
      </c>
      <c r="C225" s="26">
        <v>201620</v>
      </c>
      <c r="D225" s="26">
        <v>21023</v>
      </c>
      <c r="E225" s="26" t="s">
        <v>111</v>
      </c>
      <c r="F225" s="26" t="s">
        <v>159</v>
      </c>
      <c r="G225" s="26" t="s">
        <v>149</v>
      </c>
      <c r="H225" s="26" t="s">
        <v>167</v>
      </c>
      <c r="I225" s="26" t="s">
        <v>176</v>
      </c>
      <c r="J225" s="26">
        <v>14</v>
      </c>
      <c r="K225" s="26">
        <v>15</v>
      </c>
      <c r="L225" s="26">
        <v>17</v>
      </c>
      <c r="M225" s="32">
        <v>0.82353</v>
      </c>
      <c r="N225" s="32">
        <v>0.88235</v>
      </c>
      <c r="O225" s="26">
        <v>2.71</v>
      </c>
      <c r="P225" s="26">
        <v>3.375</v>
      </c>
      <c r="Q225" s="26">
        <v>0.2</v>
      </c>
      <c r="R225" s="26">
        <v>286.88</v>
      </c>
      <c r="S225" s="26">
        <v>1.64</v>
      </c>
    </row>
    <row r="226" spans="1:19">
      <c r="A226" s="30" t="s">
        <v>57</v>
      </c>
      <c r="B226" s="30" t="s">
        <v>21</v>
      </c>
      <c r="C226" s="30">
        <v>201630</v>
      </c>
      <c r="D226" s="30">
        <v>30123</v>
      </c>
      <c r="E226" s="30" t="s">
        <v>111</v>
      </c>
      <c r="F226" s="30" t="s">
        <v>159</v>
      </c>
      <c r="G226" s="30" t="s">
        <v>148</v>
      </c>
      <c r="H226" s="30" t="s">
        <v>167</v>
      </c>
      <c r="I226" s="30" t="s">
        <v>176</v>
      </c>
      <c r="J226" s="30">
        <v>12</v>
      </c>
      <c r="K226" s="30">
        <v>12</v>
      </c>
      <c r="L226" s="30">
        <v>12</v>
      </c>
      <c r="M226" s="31">
        <v>1</v>
      </c>
      <c r="N226" s="31">
        <v>1</v>
      </c>
      <c r="O226" s="30">
        <v>3.92</v>
      </c>
      <c r="P226" s="30">
        <v>3.375</v>
      </c>
      <c r="Q226" s="30">
        <v>0.2</v>
      </c>
      <c r="R226" s="30">
        <v>202.5</v>
      </c>
      <c r="S226" s="30">
        <v>1.17</v>
      </c>
    </row>
    <row r="227" spans="1:19">
      <c r="A227" s="26" t="s">
        <v>58</v>
      </c>
      <c r="B227" s="26" t="s">
        <v>22</v>
      </c>
      <c r="C227" s="26">
        <v>201710</v>
      </c>
      <c r="D227" s="26">
        <v>10631</v>
      </c>
      <c r="E227" s="26" t="s">
        <v>111</v>
      </c>
      <c r="F227" s="26" t="s">
        <v>159</v>
      </c>
      <c r="G227" s="26" t="s">
        <v>148</v>
      </c>
      <c r="H227" s="26" t="s">
        <v>167</v>
      </c>
      <c r="I227" s="26" t="s">
        <v>171</v>
      </c>
      <c r="J227" s="26">
        <v>34</v>
      </c>
      <c r="K227" s="26">
        <v>37</v>
      </c>
      <c r="L227" s="26">
        <v>38</v>
      </c>
      <c r="M227" s="32">
        <v>0.89474</v>
      </c>
      <c r="N227" s="32">
        <v>0.97368</v>
      </c>
      <c r="O227" s="26">
        <v>3.08</v>
      </c>
      <c r="P227" s="26">
        <v>3.375</v>
      </c>
      <c r="Q227" s="26">
        <v>0.2</v>
      </c>
      <c r="R227" s="26">
        <v>641.25</v>
      </c>
      <c r="S227" s="26">
        <v>3.66</v>
      </c>
    </row>
    <row r="228" spans="1:19">
      <c r="A228" s="30" t="s">
        <v>58</v>
      </c>
      <c r="B228" s="30" t="s">
        <v>23</v>
      </c>
      <c r="C228" s="30">
        <v>201715</v>
      </c>
      <c r="D228" s="30">
        <v>15126</v>
      </c>
      <c r="E228" s="30" t="s">
        <v>111</v>
      </c>
      <c r="F228" s="30" t="s">
        <v>159</v>
      </c>
      <c r="G228" s="30" t="s">
        <v>148</v>
      </c>
      <c r="H228" s="30" t="s">
        <v>167</v>
      </c>
      <c r="I228" s="30" t="s">
        <v>176</v>
      </c>
      <c r="J228" s="30">
        <v>19</v>
      </c>
      <c r="K228" s="30">
        <v>19</v>
      </c>
      <c r="L228" s="30">
        <v>19</v>
      </c>
      <c r="M228" s="31">
        <v>1</v>
      </c>
      <c r="N228" s="31">
        <v>1</v>
      </c>
      <c r="O228" s="30">
        <v>3.74</v>
      </c>
      <c r="P228" s="30">
        <v>3.375</v>
      </c>
      <c r="Q228" s="30">
        <v>0.2</v>
      </c>
      <c r="R228" s="30">
        <v>320.63</v>
      </c>
      <c r="S228" s="30">
        <v>1.86</v>
      </c>
    </row>
    <row r="229" spans="1:19">
      <c r="A229" s="26" t="s">
        <v>58</v>
      </c>
      <c r="B229" s="26" t="s">
        <v>24</v>
      </c>
      <c r="C229" s="26">
        <v>201720</v>
      </c>
      <c r="D229" s="26">
        <v>20627</v>
      </c>
      <c r="E229" s="26" t="s">
        <v>111</v>
      </c>
      <c r="F229" s="26" t="s">
        <v>159</v>
      </c>
      <c r="G229" s="26" t="s">
        <v>148</v>
      </c>
      <c r="H229" s="26" t="s">
        <v>167</v>
      </c>
      <c r="I229" s="26" t="s">
        <v>171</v>
      </c>
      <c r="J229" s="26">
        <v>44</v>
      </c>
      <c r="K229" s="26">
        <v>47</v>
      </c>
      <c r="L229" s="26">
        <v>48</v>
      </c>
      <c r="M229" s="32">
        <v>0.91667</v>
      </c>
      <c r="N229" s="32">
        <v>0.97917</v>
      </c>
      <c r="O229" s="26">
        <v>3.23</v>
      </c>
      <c r="P229" s="26">
        <v>3.375</v>
      </c>
      <c r="Q229" s="26">
        <v>0.27</v>
      </c>
      <c r="R229" s="26">
        <v>600</v>
      </c>
      <c r="S229" s="26">
        <v>4.62</v>
      </c>
    </row>
    <row r="230" spans="1:19">
      <c r="A230" s="30" t="s">
        <v>1</v>
      </c>
      <c r="B230" s="30" t="s">
        <v>26</v>
      </c>
      <c r="C230" s="30">
        <v>201810</v>
      </c>
      <c r="D230" s="30">
        <v>10631</v>
      </c>
      <c r="E230" s="30" t="s">
        <v>111</v>
      </c>
      <c r="F230" s="30" t="s">
        <v>159</v>
      </c>
      <c r="G230" s="30" t="s">
        <v>148</v>
      </c>
      <c r="H230" s="30" t="s">
        <v>167</v>
      </c>
      <c r="I230" s="30" t="s">
        <v>171</v>
      </c>
      <c r="J230" s="30">
        <v>40</v>
      </c>
      <c r="K230" s="30">
        <v>42</v>
      </c>
      <c r="L230" s="30">
        <v>44</v>
      </c>
      <c r="M230" s="31">
        <v>0.90909</v>
      </c>
      <c r="N230" s="31">
        <v>0.95455</v>
      </c>
      <c r="O230" s="30">
        <v>3.34</v>
      </c>
      <c r="P230" s="30">
        <v>3.375</v>
      </c>
      <c r="Q230" s="30">
        <v>0.2</v>
      </c>
      <c r="R230" s="30">
        <v>742.5</v>
      </c>
      <c r="S230" s="30">
        <v>4.24</v>
      </c>
    </row>
    <row r="231" spans="1:19">
      <c r="A231" s="26" t="s">
        <v>1</v>
      </c>
      <c r="B231" s="26" t="s">
        <v>26</v>
      </c>
      <c r="C231" s="26">
        <v>201810</v>
      </c>
      <c r="D231" s="26">
        <v>11195</v>
      </c>
      <c r="E231" s="26" t="s">
        <v>111</v>
      </c>
      <c r="F231" s="26" t="s">
        <v>159</v>
      </c>
      <c r="G231" s="26" t="s">
        <v>149</v>
      </c>
      <c r="H231" s="26" t="s">
        <v>167</v>
      </c>
      <c r="I231" s="26" t="s">
        <v>175</v>
      </c>
      <c r="J231" s="26">
        <v>28</v>
      </c>
      <c r="K231" s="26">
        <v>30</v>
      </c>
      <c r="L231" s="26">
        <v>30</v>
      </c>
      <c r="M231" s="32">
        <v>0.93333</v>
      </c>
      <c r="N231" s="32">
        <v>1</v>
      </c>
      <c r="O231" s="26">
        <v>3.5</v>
      </c>
      <c r="P231" s="26">
        <v>3.375</v>
      </c>
      <c r="Q231" s="26">
        <v>0.2</v>
      </c>
      <c r="R231" s="26">
        <v>506.25</v>
      </c>
      <c r="S231" s="26">
        <v>2.89</v>
      </c>
    </row>
    <row r="232" spans="1:19">
      <c r="A232" s="30" t="s">
        <v>1</v>
      </c>
      <c r="B232" s="30" t="s">
        <v>28</v>
      </c>
      <c r="C232" s="30">
        <v>201820</v>
      </c>
      <c r="D232" s="30">
        <v>20627</v>
      </c>
      <c r="E232" s="30" t="s">
        <v>111</v>
      </c>
      <c r="F232" s="30" t="s">
        <v>159</v>
      </c>
      <c r="G232" s="30" t="s">
        <v>148</v>
      </c>
      <c r="H232" s="30" t="s">
        <v>167</v>
      </c>
      <c r="I232" s="30" t="s">
        <v>171</v>
      </c>
      <c r="J232" s="30">
        <v>74</v>
      </c>
      <c r="K232" s="30">
        <v>74</v>
      </c>
      <c r="L232" s="30">
        <v>75</v>
      </c>
      <c r="M232" s="31">
        <v>0.98667</v>
      </c>
      <c r="N232" s="31">
        <v>0.98667</v>
      </c>
      <c r="O232" s="30">
        <v>3.57</v>
      </c>
      <c r="P232" s="30">
        <v>3.375</v>
      </c>
      <c r="Q232" s="30">
        <v>0.2</v>
      </c>
      <c r="R232" s="30">
        <v>1265.63</v>
      </c>
      <c r="S232" s="30">
        <v>7.22</v>
      </c>
    </row>
    <row r="233" spans="1:19">
      <c r="A233" s="26" t="s">
        <v>57</v>
      </c>
      <c r="B233" s="26" t="s">
        <v>18</v>
      </c>
      <c r="C233" s="26">
        <v>201610</v>
      </c>
      <c r="D233" s="26">
        <v>10632</v>
      </c>
      <c r="E233" s="26" t="s">
        <v>111</v>
      </c>
      <c r="F233" s="26" t="s">
        <v>160</v>
      </c>
      <c r="G233" s="26" t="s">
        <v>148</v>
      </c>
      <c r="H233" s="26" t="s">
        <v>167</v>
      </c>
      <c r="I233" s="26" t="s">
        <v>185</v>
      </c>
      <c r="J233" s="26">
        <v>17</v>
      </c>
      <c r="K233" s="26">
        <v>21</v>
      </c>
      <c r="L233" s="26">
        <v>23</v>
      </c>
      <c r="M233" s="32">
        <v>0.73913</v>
      </c>
      <c r="N233" s="32">
        <v>0.91304</v>
      </c>
      <c r="O233" s="26">
        <v>2.13</v>
      </c>
      <c r="P233" s="26">
        <v>5.625</v>
      </c>
      <c r="Q233" s="26">
        <v>0.33</v>
      </c>
      <c r="R233" s="26">
        <v>392.05</v>
      </c>
      <c r="S233" s="26">
        <v>3.91</v>
      </c>
    </row>
    <row r="234" spans="1:19">
      <c r="A234" s="30" t="s">
        <v>57</v>
      </c>
      <c r="B234" s="30" t="s">
        <v>18</v>
      </c>
      <c r="C234" s="30">
        <v>201610</v>
      </c>
      <c r="D234" s="30">
        <v>10633</v>
      </c>
      <c r="E234" s="30" t="s">
        <v>111</v>
      </c>
      <c r="F234" s="30" t="s">
        <v>160</v>
      </c>
      <c r="G234" s="30" t="s">
        <v>149</v>
      </c>
      <c r="H234" s="30" t="s">
        <v>167</v>
      </c>
      <c r="I234" s="30" t="s">
        <v>185</v>
      </c>
      <c r="J234" s="30">
        <v>24</v>
      </c>
      <c r="K234" s="30">
        <v>26</v>
      </c>
      <c r="L234" s="30">
        <v>28</v>
      </c>
      <c r="M234" s="31">
        <v>0.85714</v>
      </c>
      <c r="N234" s="31">
        <v>0.92857</v>
      </c>
      <c r="O234" s="30">
        <v>2.64</v>
      </c>
      <c r="P234" s="30">
        <v>5.625</v>
      </c>
      <c r="Q234" s="30">
        <v>0.33</v>
      </c>
      <c r="R234" s="30">
        <v>477.27</v>
      </c>
      <c r="S234" s="30">
        <v>4.76</v>
      </c>
    </row>
    <row r="235" spans="1:19">
      <c r="A235" s="26" t="s">
        <v>57</v>
      </c>
      <c r="B235" s="26" t="s">
        <v>18</v>
      </c>
      <c r="C235" s="26">
        <v>201610</v>
      </c>
      <c r="D235" s="26">
        <v>10929</v>
      </c>
      <c r="E235" s="26" t="s">
        <v>111</v>
      </c>
      <c r="F235" s="26" t="s">
        <v>160</v>
      </c>
      <c r="G235" s="26" t="s">
        <v>148</v>
      </c>
      <c r="H235" s="26" t="s">
        <v>167</v>
      </c>
      <c r="I235" s="26" t="s">
        <v>185</v>
      </c>
      <c r="J235" s="26">
        <v>15</v>
      </c>
      <c r="K235" s="26">
        <v>18</v>
      </c>
      <c r="L235" s="26">
        <v>20</v>
      </c>
      <c r="M235" s="32">
        <v>0.75</v>
      </c>
      <c r="N235" s="32">
        <v>0.9</v>
      </c>
      <c r="O235" s="26">
        <v>2.35</v>
      </c>
      <c r="P235" s="26">
        <v>5.625</v>
      </c>
      <c r="Q235" s="26">
        <v>0.33</v>
      </c>
      <c r="R235" s="26">
        <v>340.91</v>
      </c>
      <c r="S235" s="26">
        <v>3.4</v>
      </c>
    </row>
    <row r="236" spans="1:19">
      <c r="A236" s="30" t="s">
        <v>57</v>
      </c>
      <c r="B236" s="30" t="s">
        <v>19</v>
      </c>
      <c r="C236" s="30">
        <v>201615</v>
      </c>
      <c r="D236" s="30">
        <v>15096</v>
      </c>
      <c r="E236" s="30" t="s">
        <v>111</v>
      </c>
      <c r="F236" s="30" t="s">
        <v>160</v>
      </c>
      <c r="G236" s="30" t="s">
        <v>148</v>
      </c>
      <c r="H236" s="30" t="s">
        <v>167</v>
      </c>
      <c r="I236" s="30" t="s">
        <v>185</v>
      </c>
      <c r="J236" s="30">
        <v>20</v>
      </c>
      <c r="K236" s="30">
        <v>25</v>
      </c>
      <c r="L236" s="30">
        <v>28</v>
      </c>
      <c r="M236" s="31">
        <v>0.71429</v>
      </c>
      <c r="N236" s="31">
        <v>0.89286</v>
      </c>
      <c r="O236" s="30">
        <v>2.21</v>
      </c>
      <c r="P236" s="30">
        <v>5.625</v>
      </c>
      <c r="Q236" s="30">
        <v>0.33</v>
      </c>
      <c r="R236" s="30">
        <v>477.27</v>
      </c>
      <c r="S236" s="30">
        <v>4.56</v>
      </c>
    </row>
    <row r="237" spans="1:19">
      <c r="A237" s="26" t="s">
        <v>57</v>
      </c>
      <c r="B237" s="26" t="s">
        <v>20</v>
      </c>
      <c r="C237" s="26">
        <v>201620</v>
      </c>
      <c r="D237" s="26">
        <v>20628</v>
      </c>
      <c r="E237" s="26" t="s">
        <v>111</v>
      </c>
      <c r="F237" s="26" t="s">
        <v>160</v>
      </c>
      <c r="G237" s="26" t="s">
        <v>148</v>
      </c>
      <c r="H237" s="26" t="s">
        <v>167</v>
      </c>
      <c r="I237" s="26" t="s">
        <v>185</v>
      </c>
      <c r="J237" s="26">
        <v>22</v>
      </c>
      <c r="K237" s="26">
        <v>29</v>
      </c>
      <c r="L237" s="26">
        <v>33</v>
      </c>
      <c r="M237" s="32">
        <v>0.66667</v>
      </c>
      <c r="N237" s="32">
        <v>0.87879</v>
      </c>
      <c r="O237" s="26">
        <v>2.12</v>
      </c>
      <c r="P237" s="26">
        <v>5.625</v>
      </c>
      <c r="Q237" s="26">
        <v>0.33</v>
      </c>
      <c r="R237" s="26">
        <v>562.5</v>
      </c>
      <c r="S237" s="26">
        <v>5.61</v>
      </c>
    </row>
    <row r="238" spans="1:19">
      <c r="A238" s="30" t="s">
        <v>57</v>
      </c>
      <c r="B238" s="30" t="s">
        <v>20</v>
      </c>
      <c r="C238" s="30">
        <v>201620</v>
      </c>
      <c r="D238" s="30">
        <v>20629</v>
      </c>
      <c r="E238" s="30" t="s">
        <v>111</v>
      </c>
      <c r="F238" s="30" t="s">
        <v>160</v>
      </c>
      <c r="G238" s="30" t="s">
        <v>149</v>
      </c>
      <c r="H238" s="30" t="s">
        <v>167</v>
      </c>
      <c r="I238" s="30" t="s">
        <v>185</v>
      </c>
      <c r="J238" s="30">
        <v>20</v>
      </c>
      <c r="K238" s="30">
        <v>25</v>
      </c>
      <c r="L238" s="30">
        <v>28</v>
      </c>
      <c r="M238" s="31">
        <v>0.71429</v>
      </c>
      <c r="N238" s="31">
        <v>0.89286</v>
      </c>
      <c r="O238" s="30">
        <v>2.11</v>
      </c>
      <c r="P238" s="30">
        <v>5.625</v>
      </c>
      <c r="Q238" s="30">
        <v>0.33</v>
      </c>
      <c r="R238" s="30">
        <v>477.27</v>
      </c>
      <c r="S238" s="30">
        <v>4.76</v>
      </c>
    </row>
    <row r="239" spans="1:19">
      <c r="A239" s="26" t="s">
        <v>57</v>
      </c>
      <c r="B239" s="26" t="s">
        <v>21</v>
      </c>
      <c r="C239" s="26">
        <v>201630</v>
      </c>
      <c r="D239" s="26">
        <v>30068</v>
      </c>
      <c r="E239" s="26" t="s">
        <v>111</v>
      </c>
      <c r="F239" s="26" t="s">
        <v>160</v>
      </c>
      <c r="G239" s="26" t="s">
        <v>148</v>
      </c>
      <c r="H239" s="26" t="s">
        <v>167</v>
      </c>
      <c r="I239" s="26" t="s">
        <v>185</v>
      </c>
      <c r="J239" s="26">
        <v>13</v>
      </c>
      <c r="K239" s="26">
        <v>14</v>
      </c>
      <c r="L239" s="26">
        <v>14</v>
      </c>
      <c r="M239" s="32">
        <v>0.92857</v>
      </c>
      <c r="N239" s="32">
        <v>1</v>
      </c>
      <c r="O239" s="26">
        <v>3</v>
      </c>
      <c r="P239" s="26">
        <v>5.625</v>
      </c>
      <c r="Q239" s="26">
        <v>0.33</v>
      </c>
      <c r="R239" s="26">
        <v>238.64</v>
      </c>
      <c r="S239" s="26">
        <v>2.28</v>
      </c>
    </row>
    <row r="240" spans="1:19">
      <c r="A240" s="30" t="s">
        <v>58</v>
      </c>
      <c r="B240" s="30" t="s">
        <v>22</v>
      </c>
      <c r="C240" s="30">
        <v>201710</v>
      </c>
      <c r="D240" s="30">
        <v>10632</v>
      </c>
      <c r="E240" s="30" t="s">
        <v>111</v>
      </c>
      <c r="F240" s="30" t="s">
        <v>160</v>
      </c>
      <c r="G240" s="30" t="s">
        <v>148</v>
      </c>
      <c r="H240" s="30" t="s">
        <v>167</v>
      </c>
      <c r="I240" s="30" t="s">
        <v>185</v>
      </c>
      <c r="J240" s="30">
        <v>18</v>
      </c>
      <c r="K240" s="30">
        <v>24</v>
      </c>
      <c r="L240" s="30">
        <v>28</v>
      </c>
      <c r="M240" s="31">
        <v>0.64286</v>
      </c>
      <c r="N240" s="31">
        <v>0.85714</v>
      </c>
      <c r="O240" s="30">
        <v>2.21</v>
      </c>
      <c r="P240" s="30">
        <v>5.625</v>
      </c>
      <c r="Q240" s="30">
        <v>0.33</v>
      </c>
      <c r="R240" s="30">
        <v>477.27</v>
      </c>
      <c r="S240" s="30">
        <v>4.76</v>
      </c>
    </row>
    <row r="241" spans="1:19">
      <c r="A241" s="26" t="s">
        <v>58</v>
      </c>
      <c r="B241" s="26" t="s">
        <v>22</v>
      </c>
      <c r="C241" s="26">
        <v>201710</v>
      </c>
      <c r="D241" s="26">
        <v>10633</v>
      </c>
      <c r="E241" s="26" t="s">
        <v>111</v>
      </c>
      <c r="F241" s="26" t="s">
        <v>160</v>
      </c>
      <c r="G241" s="26" t="s">
        <v>149</v>
      </c>
      <c r="H241" s="26" t="s">
        <v>167</v>
      </c>
      <c r="I241" s="26" t="s">
        <v>185</v>
      </c>
      <c r="J241" s="26">
        <v>15</v>
      </c>
      <c r="K241" s="26">
        <v>18</v>
      </c>
      <c r="L241" s="26">
        <v>21</v>
      </c>
      <c r="M241" s="32">
        <v>0.71429</v>
      </c>
      <c r="N241" s="32">
        <v>0.85714</v>
      </c>
      <c r="O241" s="26">
        <v>2.43</v>
      </c>
      <c r="P241" s="26">
        <v>5.625</v>
      </c>
      <c r="Q241" s="26">
        <v>0.33</v>
      </c>
      <c r="R241" s="26">
        <v>357.95</v>
      </c>
      <c r="S241" s="26">
        <v>3.57</v>
      </c>
    </row>
    <row r="242" spans="1:19">
      <c r="A242" s="30" t="s">
        <v>58</v>
      </c>
      <c r="B242" s="30" t="s">
        <v>22</v>
      </c>
      <c r="C242" s="30">
        <v>201710</v>
      </c>
      <c r="D242" s="30">
        <v>10929</v>
      </c>
      <c r="E242" s="30" t="s">
        <v>111</v>
      </c>
      <c r="F242" s="30" t="s">
        <v>160</v>
      </c>
      <c r="G242" s="30" t="s">
        <v>148</v>
      </c>
      <c r="H242" s="30" t="s">
        <v>167</v>
      </c>
      <c r="I242" s="30" t="s">
        <v>185</v>
      </c>
      <c r="J242" s="30">
        <v>24</v>
      </c>
      <c r="K242" s="30">
        <v>30</v>
      </c>
      <c r="L242" s="30">
        <v>31</v>
      </c>
      <c r="M242" s="31">
        <v>0.77419</v>
      </c>
      <c r="N242" s="31">
        <v>0.96774</v>
      </c>
      <c r="O242" s="30">
        <v>2.42</v>
      </c>
      <c r="P242" s="30">
        <v>5.625</v>
      </c>
      <c r="Q242" s="30">
        <v>0.33</v>
      </c>
      <c r="R242" s="30">
        <v>528.41</v>
      </c>
      <c r="S242" s="30">
        <v>5.27</v>
      </c>
    </row>
    <row r="243" spans="1:19">
      <c r="A243" s="26" t="s">
        <v>58</v>
      </c>
      <c r="B243" s="26" t="s">
        <v>23</v>
      </c>
      <c r="C243" s="26">
        <v>201715</v>
      </c>
      <c r="D243" s="26">
        <v>15096</v>
      </c>
      <c r="E243" s="26" t="s">
        <v>111</v>
      </c>
      <c r="F243" s="26" t="s">
        <v>160</v>
      </c>
      <c r="G243" s="26" t="s">
        <v>148</v>
      </c>
      <c r="H243" s="26" t="s">
        <v>167</v>
      </c>
      <c r="I243" s="26" t="s">
        <v>185</v>
      </c>
      <c r="J243" s="26">
        <v>28</v>
      </c>
      <c r="K243" s="26">
        <v>29</v>
      </c>
      <c r="L243" s="26">
        <v>30</v>
      </c>
      <c r="M243" s="32">
        <v>0.93333</v>
      </c>
      <c r="N243" s="32">
        <v>0.96667</v>
      </c>
      <c r="O243" s="26">
        <v>2.87</v>
      </c>
      <c r="P243" s="26">
        <v>5.625</v>
      </c>
      <c r="Q243" s="26">
        <v>0.33</v>
      </c>
      <c r="R243" s="26">
        <v>511.36</v>
      </c>
      <c r="S243" s="26">
        <v>4.88</v>
      </c>
    </row>
    <row r="244" spans="1:19">
      <c r="A244" s="30" t="s">
        <v>58</v>
      </c>
      <c r="B244" s="30" t="s">
        <v>24</v>
      </c>
      <c r="C244" s="30">
        <v>201720</v>
      </c>
      <c r="D244" s="30">
        <v>20628</v>
      </c>
      <c r="E244" s="30" t="s">
        <v>111</v>
      </c>
      <c r="F244" s="30" t="s">
        <v>160</v>
      </c>
      <c r="G244" s="30" t="s">
        <v>148</v>
      </c>
      <c r="H244" s="30" t="s">
        <v>167</v>
      </c>
      <c r="I244" s="30" t="s">
        <v>185</v>
      </c>
      <c r="J244" s="30">
        <v>22</v>
      </c>
      <c r="K244" s="30">
        <v>27</v>
      </c>
      <c r="L244" s="30">
        <v>28</v>
      </c>
      <c r="M244" s="31">
        <v>0.78571</v>
      </c>
      <c r="N244" s="31">
        <v>0.96429</v>
      </c>
      <c r="O244" s="30">
        <v>2.43</v>
      </c>
      <c r="P244" s="30">
        <v>5.625</v>
      </c>
      <c r="Q244" s="30">
        <v>0.33</v>
      </c>
      <c r="R244" s="30">
        <v>477.27</v>
      </c>
      <c r="S244" s="30">
        <v>4.76</v>
      </c>
    </row>
    <row r="245" spans="1:19">
      <c r="A245" s="26" t="s">
        <v>58</v>
      </c>
      <c r="B245" s="26" t="s">
        <v>24</v>
      </c>
      <c r="C245" s="26">
        <v>201720</v>
      </c>
      <c r="D245" s="26">
        <v>20629</v>
      </c>
      <c r="E245" s="26" t="s">
        <v>111</v>
      </c>
      <c r="F245" s="26" t="s">
        <v>160</v>
      </c>
      <c r="G245" s="26" t="s">
        <v>149</v>
      </c>
      <c r="H245" s="26" t="s">
        <v>167</v>
      </c>
      <c r="I245" s="26" t="s">
        <v>185</v>
      </c>
      <c r="J245" s="26">
        <v>14</v>
      </c>
      <c r="K245" s="26">
        <v>22</v>
      </c>
      <c r="L245" s="26">
        <v>25</v>
      </c>
      <c r="M245" s="32">
        <v>0.56</v>
      </c>
      <c r="N245" s="32">
        <v>0.88</v>
      </c>
      <c r="O245" s="26">
        <v>1.56</v>
      </c>
      <c r="P245" s="26">
        <v>5.625</v>
      </c>
      <c r="Q245" s="26">
        <v>0.33</v>
      </c>
      <c r="R245" s="26">
        <v>426.14</v>
      </c>
      <c r="S245" s="26">
        <v>4.25</v>
      </c>
    </row>
    <row r="246" spans="1:19">
      <c r="A246" s="30" t="s">
        <v>58</v>
      </c>
      <c r="B246" s="30" t="s">
        <v>24</v>
      </c>
      <c r="C246" s="30">
        <v>201720</v>
      </c>
      <c r="D246" s="30">
        <v>21151</v>
      </c>
      <c r="E246" s="30" t="s">
        <v>111</v>
      </c>
      <c r="F246" s="30" t="s">
        <v>160</v>
      </c>
      <c r="G246" s="30" t="s">
        <v>149</v>
      </c>
      <c r="H246" s="30" t="s">
        <v>167</v>
      </c>
      <c r="I246" s="30" t="s">
        <v>186</v>
      </c>
      <c r="J246" s="30">
        <v>13</v>
      </c>
      <c r="K246" s="30">
        <v>14</v>
      </c>
      <c r="L246" s="30">
        <v>14</v>
      </c>
      <c r="M246" s="31">
        <v>0.92857</v>
      </c>
      <c r="N246" s="31">
        <v>1</v>
      </c>
      <c r="O246" s="30">
        <v>2.79</v>
      </c>
      <c r="P246" s="30">
        <v>5.625</v>
      </c>
      <c r="Q246" s="30">
        <v>0.33</v>
      </c>
      <c r="R246" s="30">
        <v>238.64</v>
      </c>
      <c r="S246" s="30">
        <v>2.38</v>
      </c>
    </row>
    <row r="247" spans="1:19">
      <c r="A247" s="26" t="s">
        <v>1</v>
      </c>
      <c r="B247" s="26" t="s">
        <v>26</v>
      </c>
      <c r="C247" s="26">
        <v>201810</v>
      </c>
      <c r="D247" s="26">
        <v>10632</v>
      </c>
      <c r="E247" s="26" t="s">
        <v>111</v>
      </c>
      <c r="F247" s="26" t="s">
        <v>160</v>
      </c>
      <c r="G247" s="26" t="s">
        <v>148</v>
      </c>
      <c r="H247" s="26" t="s">
        <v>167</v>
      </c>
      <c r="I247" s="26" t="s">
        <v>185</v>
      </c>
      <c r="J247" s="26">
        <v>20</v>
      </c>
      <c r="K247" s="26">
        <v>28</v>
      </c>
      <c r="L247" s="26">
        <v>30</v>
      </c>
      <c r="M247" s="32">
        <v>0.66667</v>
      </c>
      <c r="N247" s="32">
        <v>0.93333</v>
      </c>
      <c r="O247" s="26">
        <v>2.23</v>
      </c>
      <c r="P247" s="26">
        <v>5.625</v>
      </c>
      <c r="Q247" s="26">
        <v>0.33</v>
      </c>
      <c r="R247" s="26">
        <v>511.36</v>
      </c>
      <c r="S247" s="26">
        <v>5.1</v>
      </c>
    </row>
    <row r="248" spans="1:19">
      <c r="A248" s="30" t="s">
        <v>1</v>
      </c>
      <c r="B248" s="30" t="s">
        <v>26</v>
      </c>
      <c r="C248" s="30">
        <v>201810</v>
      </c>
      <c r="D248" s="30">
        <v>10633</v>
      </c>
      <c r="E248" s="30" t="s">
        <v>111</v>
      </c>
      <c r="F248" s="30" t="s">
        <v>160</v>
      </c>
      <c r="G248" s="30" t="s">
        <v>149</v>
      </c>
      <c r="H248" s="30" t="s">
        <v>167</v>
      </c>
      <c r="I248" s="30" t="s">
        <v>185</v>
      </c>
      <c r="J248" s="30">
        <v>22</v>
      </c>
      <c r="K248" s="30">
        <v>22</v>
      </c>
      <c r="L248" s="30">
        <v>23</v>
      </c>
      <c r="M248" s="31">
        <v>0.95652</v>
      </c>
      <c r="N248" s="31">
        <v>0.95652</v>
      </c>
      <c r="O248" s="30">
        <v>2.61</v>
      </c>
      <c r="P248" s="30">
        <v>5.625</v>
      </c>
      <c r="Q248" s="30">
        <v>0.33</v>
      </c>
      <c r="R248" s="30">
        <v>392.05</v>
      </c>
      <c r="S248" s="30">
        <v>3.91</v>
      </c>
    </row>
    <row r="249" spans="1:19">
      <c r="A249" s="26" t="s">
        <v>1</v>
      </c>
      <c r="B249" s="26" t="s">
        <v>26</v>
      </c>
      <c r="C249" s="26">
        <v>201810</v>
      </c>
      <c r="D249" s="26">
        <v>10929</v>
      </c>
      <c r="E249" s="26" t="s">
        <v>111</v>
      </c>
      <c r="F249" s="26" t="s">
        <v>160</v>
      </c>
      <c r="G249" s="26" t="s">
        <v>148</v>
      </c>
      <c r="H249" s="26" t="s">
        <v>167</v>
      </c>
      <c r="I249" s="26" t="s">
        <v>185</v>
      </c>
      <c r="J249" s="26">
        <v>27</v>
      </c>
      <c r="K249" s="26">
        <v>28</v>
      </c>
      <c r="L249" s="26">
        <v>29</v>
      </c>
      <c r="M249" s="32">
        <v>0.93103</v>
      </c>
      <c r="N249" s="32">
        <v>0.96552</v>
      </c>
      <c r="O249" s="26">
        <v>2.97</v>
      </c>
      <c r="P249" s="26">
        <v>5.625</v>
      </c>
      <c r="Q249" s="26">
        <v>0.33</v>
      </c>
      <c r="R249" s="26">
        <v>494.32</v>
      </c>
      <c r="S249" s="26">
        <v>4.93</v>
      </c>
    </row>
    <row r="250" spans="1:19">
      <c r="A250" s="30" t="s">
        <v>1</v>
      </c>
      <c r="B250" s="30" t="s">
        <v>27</v>
      </c>
      <c r="C250" s="30">
        <v>201815</v>
      </c>
      <c r="D250" s="30">
        <v>15096</v>
      </c>
      <c r="E250" s="30" t="s">
        <v>111</v>
      </c>
      <c r="F250" s="30" t="s">
        <v>160</v>
      </c>
      <c r="G250" s="30" t="s">
        <v>148</v>
      </c>
      <c r="H250" s="30" t="s">
        <v>167</v>
      </c>
      <c r="I250" s="30" t="s">
        <v>185</v>
      </c>
      <c r="J250" s="30">
        <v>32</v>
      </c>
      <c r="K250" s="30">
        <v>33</v>
      </c>
      <c r="L250" s="30">
        <v>34</v>
      </c>
      <c r="M250" s="31">
        <v>0.94118</v>
      </c>
      <c r="N250" s="31">
        <v>0.97059</v>
      </c>
      <c r="O250" s="30">
        <v>2.97</v>
      </c>
      <c r="P250" s="30">
        <v>5.625</v>
      </c>
      <c r="Q250" s="30">
        <v>0.33</v>
      </c>
      <c r="R250" s="30">
        <v>579.55</v>
      </c>
      <c r="S250" s="30">
        <v>5.54</v>
      </c>
    </row>
    <row r="251" spans="1:19">
      <c r="A251" s="26" t="s">
        <v>1</v>
      </c>
      <c r="B251" s="26" t="s">
        <v>28</v>
      </c>
      <c r="C251" s="26">
        <v>201820</v>
      </c>
      <c r="D251" s="26">
        <v>20628</v>
      </c>
      <c r="E251" s="26" t="s">
        <v>111</v>
      </c>
      <c r="F251" s="26" t="s">
        <v>160</v>
      </c>
      <c r="G251" s="26" t="s">
        <v>148</v>
      </c>
      <c r="H251" s="26" t="s">
        <v>167</v>
      </c>
      <c r="I251" s="26" t="s">
        <v>185</v>
      </c>
      <c r="J251" s="26">
        <v>30</v>
      </c>
      <c r="K251" s="26">
        <v>34</v>
      </c>
      <c r="L251" s="26">
        <v>36</v>
      </c>
      <c r="M251" s="32">
        <v>0.83333</v>
      </c>
      <c r="N251" s="32">
        <v>0.94444</v>
      </c>
      <c r="O251" s="26">
        <v>2.56</v>
      </c>
      <c r="P251" s="26">
        <v>5.625</v>
      </c>
      <c r="Q251" s="26">
        <v>0.33</v>
      </c>
      <c r="R251" s="26">
        <v>613.64</v>
      </c>
      <c r="S251" s="26">
        <v>6.12</v>
      </c>
    </row>
    <row r="252" spans="1:19">
      <c r="A252" s="30" t="s">
        <v>1</v>
      </c>
      <c r="B252" s="30" t="s">
        <v>28</v>
      </c>
      <c r="C252" s="30">
        <v>201820</v>
      </c>
      <c r="D252" s="30">
        <v>20629</v>
      </c>
      <c r="E252" s="30" t="s">
        <v>111</v>
      </c>
      <c r="F252" s="30" t="s">
        <v>160</v>
      </c>
      <c r="G252" s="30" t="s">
        <v>149</v>
      </c>
      <c r="H252" s="30" t="s">
        <v>167</v>
      </c>
      <c r="I252" s="30" t="s">
        <v>185</v>
      </c>
      <c r="J252" s="30">
        <v>29</v>
      </c>
      <c r="K252" s="30">
        <v>30</v>
      </c>
      <c r="L252" s="30">
        <v>35</v>
      </c>
      <c r="M252" s="31">
        <v>0.82857</v>
      </c>
      <c r="N252" s="31">
        <v>0.85714</v>
      </c>
      <c r="O252" s="30">
        <v>2.4</v>
      </c>
      <c r="P252" s="30">
        <v>5.625</v>
      </c>
      <c r="Q252" s="30">
        <v>0.33</v>
      </c>
      <c r="R252" s="30">
        <v>596.59</v>
      </c>
      <c r="S252" s="30">
        <v>5.95</v>
      </c>
    </row>
    <row r="253" spans="1:19">
      <c r="A253" s="26" t="s">
        <v>1</v>
      </c>
      <c r="B253" s="26" t="s">
        <v>29</v>
      </c>
      <c r="C253" s="26">
        <v>201830</v>
      </c>
      <c r="D253" s="26">
        <v>30068</v>
      </c>
      <c r="E253" s="26" t="s">
        <v>111</v>
      </c>
      <c r="F253" s="26" t="s">
        <v>160</v>
      </c>
      <c r="G253" s="26" t="s">
        <v>148</v>
      </c>
      <c r="H253" s="26" t="s">
        <v>167</v>
      </c>
      <c r="I253" s="26" t="s">
        <v>185</v>
      </c>
      <c r="J253" s="26">
        <v>26</v>
      </c>
      <c r="K253" s="26">
        <v>29</v>
      </c>
      <c r="L253" s="26">
        <v>30</v>
      </c>
      <c r="M253" s="32">
        <v>0.86667</v>
      </c>
      <c r="N253" s="32">
        <v>0.96667</v>
      </c>
      <c r="O253" s="26">
        <v>2.47</v>
      </c>
      <c r="P253" s="26">
        <v>5.625</v>
      </c>
      <c r="Q253" s="26">
        <v>0.33</v>
      </c>
      <c r="R253" s="26">
        <v>511.36</v>
      </c>
      <c r="S253" s="26">
        <v>4.88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5:S253"/>
  <mergeCells>
    <mergeCell ref="A1:S1"/>
    <mergeCell ref="A2:S2"/>
    <mergeCell ref="A3:S3"/>
  </mergeCells>
  <conditionalFormatting sqref="M6:M253">
    <cfRule type="cellIs" dxfId="0" priority="1" operator="lessThan">
      <formula>0.7</formula>
    </cfRule>
  </conditionalFormatting>
  <conditionalFormatting sqref="N6:N253">
    <cfRule type="cellIs" dxfId="1" priority="2" operator="lessThan">
      <formula>0.86</formula>
    </cfRule>
  </conditionalFormatting>
  <conditionalFormatting sqref="R6:R253">
    <cfRule type="cellIs" dxfId="2" priority="3" operator="lessThan">
      <formula>565</formula>
    </cfRule>
  </conditionalFormatting>
  <conditionalFormatting sqref="R6:R253">
    <cfRule type="cellIs" dxfId="3" priority="4" operator="greaterThanOrEqual">
      <formula>565</formula>
    </cfRule>
  </conditionalFormatting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PSY&amp;RPrinted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37"/>
  <sheetViews>
    <sheetView tabSelected="0" workbookViewId="0" showGridLines="true" showRowColHeaders="1">
      <selection activeCell="A37" sqref="A37"/>
    </sheetView>
  </sheetViews>
  <sheetFormatPr defaultRowHeight="14.4" outlineLevelRow="0" outlineLevelCol="0"/>
  <cols>
    <col min="1" max="1" width="16" customWidth="true" style="0"/>
    <col min="2" max="2" width="10" customWidth="true" style="0"/>
    <col min="3" max="3" width="11" customWidth="true" style="0"/>
    <col min="4" max="4" width="11" customWidth="true" style="0"/>
    <col min="5" max="5" width="10" customWidth="true" style="0"/>
    <col min="6" max="6" width="11" customWidth="true" style="0"/>
    <col min="7" max="7" width="11" customWidth="true" style="0"/>
    <col min="8" max="8" width="10" customWidth="true" style="0"/>
    <col min="9" max="9" width="11" customWidth="true" style="0"/>
    <col min="10" max="10" width="11" customWidth="true" style="0"/>
    <col min="11" max="11" width="10" customWidth="true" style="0"/>
    <col min="12" max="12" width="11" customWidth="true" style="0"/>
    <col min="13" max="13" width="11" customWidth="true" style="0"/>
  </cols>
  <sheetData>
    <row r="1" spans="1:13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1:13">
      <c r="B4" s="9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</row>
    <row r="5" spans="1:13">
      <c r="A5" s="9" t="s">
        <v>13</v>
      </c>
      <c r="B5" s="9" t="s">
        <v>14</v>
      </c>
      <c r="C5" s="9" t="s">
        <v>15</v>
      </c>
      <c r="D5" s="9" t="s">
        <v>16</v>
      </c>
      <c r="E5" s="9" t="s">
        <v>17</v>
      </c>
      <c r="F5" s="9" t="s">
        <v>14</v>
      </c>
      <c r="G5" s="9" t="s">
        <v>15</v>
      </c>
      <c r="H5" s="9" t="s">
        <v>16</v>
      </c>
      <c r="I5" s="9" t="s">
        <v>17</v>
      </c>
      <c r="J5" s="9" t="s">
        <v>14</v>
      </c>
      <c r="K5" s="9" t="s">
        <v>15</v>
      </c>
      <c r="L5" s="9" t="s">
        <v>16</v>
      </c>
      <c r="M5" s="9" t="s">
        <v>17</v>
      </c>
    </row>
    <row r="6" spans="1:13">
      <c r="A6" s="10" t="s">
        <v>18</v>
      </c>
      <c r="B6" s="11">
        <v>25</v>
      </c>
      <c r="C6" s="12" t="str">
        <f>IF(E6=0, 0, (D6/E6))</f>
        <v>0</v>
      </c>
      <c r="D6" s="11">
        <v>995</v>
      </c>
      <c r="E6" s="11">
        <v>1015</v>
      </c>
      <c r="F6" s="11">
        <v>8</v>
      </c>
      <c r="G6" s="12" t="str">
        <f>IF(I6=0, 0, (H6/I6))</f>
        <v>0</v>
      </c>
      <c r="H6" s="11">
        <v>269</v>
      </c>
      <c r="I6" s="11">
        <v>300</v>
      </c>
      <c r="J6" s="11">
        <v>0</v>
      </c>
      <c r="K6" s="12" t="str">
        <f>IF(M6=0, 0, (L6/M6))</f>
        <v>0</v>
      </c>
      <c r="L6" s="11">
        <v>0</v>
      </c>
      <c r="M6" s="11">
        <v>0</v>
      </c>
    </row>
    <row r="7" spans="1:13">
      <c r="A7" s="10" t="s">
        <v>19</v>
      </c>
      <c r="B7" s="10">
        <v>7</v>
      </c>
      <c r="C7" s="13" t="str">
        <f>IF(E7=0, 0, (D7/E7))</f>
        <v>0</v>
      </c>
      <c r="D7" s="10">
        <v>205</v>
      </c>
      <c r="E7" s="10">
        <v>250</v>
      </c>
      <c r="F7" s="10">
        <v>1</v>
      </c>
      <c r="G7" s="13" t="str">
        <f>IF(I7=0, 0, (H7/I7))</f>
        <v>0</v>
      </c>
      <c r="H7" s="10">
        <v>10</v>
      </c>
      <c r="I7" s="10">
        <v>40</v>
      </c>
      <c r="J7" s="10">
        <v>0</v>
      </c>
      <c r="K7" s="13" t="str">
        <f>IF(M7=0, 0, (L7/M7))</f>
        <v>0</v>
      </c>
      <c r="L7" s="10">
        <v>0</v>
      </c>
      <c r="M7" s="10">
        <v>0</v>
      </c>
    </row>
    <row r="8" spans="1:13">
      <c r="A8" s="10" t="s">
        <v>20</v>
      </c>
      <c r="B8" s="11">
        <v>21</v>
      </c>
      <c r="C8" s="12" t="str">
        <f>IF(E8=0, 0, (D8/E8))</f>
        <v>0</v>
      </c>
      <c r="D8" s="11">
        <v>834</v>
      </c>
      <c r="E8" s="11">
        <v>865</v>
      </c>
      <c r="F8" s="11">
        <v>8</v>
      </c>
      <c r="G8" s="12" t="str">
        <f>IF(I8=0, 0, (H8/I8))</f>
        <v>0</v>
      </c>
      <c r="H8" s="11">
        <v>215</v>
      </c>
      <c r="I8" s="11">
        <v>290</v>
      </c>
      <c r="J8" s="11">
        <v>0</v>
      </c>
      <c r="K8" s="12" t="str">
        <f>IF(M8=0, 0, (L8/M8))</f>
        <v>0</v>
      </c>
      <c r="L8" s="11">
        <v>0</v>
      </c>
      <c r="M8" s="11">
        <v>0</v>
      </c>
    </row>
    <row r="9" spans="1:13">
      <c r="A9" s="10" t="s">
        <v>21</v>
      </c>
      <c r="B9" s="10">
        <v>7</v>
      </c>
      <c r="C9" s="13" t="str">
        <f>IF(E9=0, 0, (D9/E9))</f>
        <v>0</v>
      </c>
      <c r="D9" s="10">
        <v>150</v>
      </c>
      <c r="E9" s="10">
        <v>240</v>
      </c>
      <c r="F9" s="10">
        <v>3</v>
      </c>
      <c r="G9" s="13" t="str">
        <f>IF(I9=0, 0, (H9/I9))</f>
        <v>0</v>
      </c>
      <c r="H9" s="10">
        <v>67</v>
      </c>
      <c r="I9" s="10">
        <v>115</v>
      </c>
      <c r="J9" s="10">
        <v>1</v>
      </c>
      <c r="K9" s="13" t="str">
        <f>IF(M9=0, 0, (L9/M9))</f>
        <v>0</v>
      </c>
      <c r="L9" s="10">
        <v>30</v>
      </c>
      <c r="M9" s="10">
        <v>40</v>
      </c>
    </row>
    <row r="10" spans="1:13">
      <c r="A10" s="10" t="s">
        <v>22</v>
      </c>
      <c r="B10" s="11">
        <v>22</v>
      </c>
      <c r="C10" s="12" t="str">
        <f>IF(E10=0, 0, (D10/E10))</f>
        <v>0</v>
      </c>
      <c r="D10" s="11">
        <v>888</v>
      </c>
      <c r="E10" s="11">
        <v>795</v>
      </c>
      <c r="F10" s="11">
        <v>9</v>
      </c>
      <c r="G10" s="12" t="str">
        <f>IF(I10=0, 0, (H10/I10))</f>
        <v>0</v>
      </c>
      <c r="H10" s="11">
        <v>256</v>
      </c>
      <c r="I10" s="11">
        <v>330</v>
      </c>
      <c r="J10" s="11">
        <v>1</v>
      </c>
      <c r="K10" s="12" t="str">
        <f>IF(M10=0, 0, (L10/M10))</f>
        <v>0</v>
      </c>
      <c r="L10" s="11">
        <v>38</v>
      </c>
      <c r="M10" s="11">
        <v>40</v>
      </c>
    </row>
    <row r="11" spans="1:13">
      <c r="A11" s="10" t="s">
        <v>23</v>
      </c>
      <c r="B11" s="10">
        <v>7</v>
      </c>
      <c r="C11" s="13" t="str">
        <f>IF(E11=0, 0, (D11/E11))</f>
        <v>0</v>
      </c>
      <c r="D11" s="10">
        <v>190</v>
      </c>
      <c r="E11" s="10">
        <v>250</v>
      </c>
      <c r="F11" s="10">
        <v>1</v>
      </c>
      <c r="G11" s="13" t="str">
        <f>IF(I11=0, 0, (H11/I11))</f>
        <v>0</v>
      </c>
      <c r="H11" s="10">
        <v>25</v>
      </c>
      <c r="I11" s="10">
        <v>40</v>
      </c>
      <c r="J11" s="10">
        <v>1</v>
      </c>
      <c r="K11" s="13" t="str">
        <f>IF(M11=0, 0, (L11/M11))</f>
        <v>0</v>
      </c>
      <c r="L11" s="10">
        <v>31</v>
      </c>
      <c r="M11" s="10">
        <v>40</v>
      </c>
    </row>
    <row r="12" spans="1:13">
      <c r="A12" s="10" t="s">
        <v>24</v>
      </c>
      <c r="B12" s="11">
        <v>16</v>
      </c>
      <c r="C12" s="12" t="str">
        <f>IF(E12=0, 0, (D12/E12))</f>
        <v>0</v>
      </c>
      <c r="D12" s="11">
        <v>649</v>
      </c>
      <c r="E12" s="11">
        <v>570</v>
      </c>
      <c r="F12" s="11">
        <v>14</v>
      </c>
      <c r="G12" s="12" t="str">
        <f>IF(I12=0, 0, (H12/I12))</f>
        <v>0</v>
      </c>
      <c r="H12" s="11">
        <v>356</v>
      </c>
      <c r="I12" s="11">
        <v>500</v>
      </c>
      <c r="J12" s="11">
        <v>1</v>
      </c>
      <c r="K12" s="12" t="str">
        <f>IF(M12=0, 0, (L12/M12))</f>
        <v>0</v>
      </c>
      <c r="L12" s="11">
        <v>35</v>
      </c>
      <c r="M12" s="11">
        <v>40</v>
      </c>
    </row>
    <row r="13" spans="1:13">
      <c r="A13" s="10" t="s">
        <v>25</v>
      </c>
      <c r="B13" s="10">
        <v>8</v>
      </c>
      <c r="C13" s="13" t="str">
        <f>IF(E13=0, 0, (D13/E13))</f>
        <v>0</v>
      </c>
      <c r="D13" s="10">
        <v>262</v>
      </c>
      <c r="E13" s="10">
        <v>310</v>
      </c>
      <c r="F13" s="10">
        <v>1</v>
      </c>
      <c r="G13" s="13" t="str">
        <f>IF(I13=0, 0, (H13/I13))</f>
        <v>0</v>
      </c>
      <c r="H13" s="10">
        <v>24</v>
      </c>
      <c r="I13" s="10">
        <v>35</v>
      </c>
      <c r="J13" s="10">
        <v>1</v>
      </c>
      <c r="K13" s="13" t="str">
        <f>IF(M13=0, 0, (L13/M13))</f>
        <v>0</v>
      </c>
      <c r="L13" s="10">
        <v>67</v>
      </c>
      <c r="M13" s="10">
        <v>40</v>
      </c>
    </row>
    <row r="14" spans="1:13">
      <c r="A14" s="10" t="s">
        <v>26</v>
      </c>
      <c r="B14" s="11">
        <v>26</v>
      </c>
      <c r="C14" s="12" t="str">
        <f>IF(E14=0, 0, (D14/E14))</f>
        <v>0</v>
      </c>
      <c r="D14" s="11">
        <v>1068</v>
      </c>
      <c r="E14" s="11">
        <v>1029</v>
      </c>
      <c r="F14" s="11">
        <v>7</v>
      </c>
      <c r="G14" s="12" t="str">
        <f>IF(I14=0, 0, (H14/I14))</f>
        <v>0</v>
      </c>
      <c r="H14" s="11">
        <v>250</v>
      </c>
      <c r="I14" s="11">
        <v>270</v>
      </c>
      <c r="J14" s="11">
        <v>1</v>
      </c>
      <c r="K14" s="12" t="str">
        <f>IF(M14=0, 0, (L14/M14))</f>
        <v>0</v>
      </c>
      <c r="L14" s="11">
        <v>44</v>
      </c>
      <c r="M14" s="11">
        <v>45</v>
      </c>
    </row>
    <row r="15" spans="1:13">
      <c r="A15" s="10" t="s">
        <v>27</v>
      </c>
      <c r="B15" s="10">
        <v>5</v>
      </c>
      <c r="C15" s="13" t="str">
        <f>IF(E15=0, 0, (D15/E15))</f>
        <v>0</v>
      </c>
      <c r="D15" s="10">
        <v>180</v>
      </c>
      <c r="E15" s="10">
        <v>200</v>
      </c>
      <c r="F15" s="10">
        <v>0</v>
      </c>
      <c r="G15" s="13" t="str">
        <f>IF(I15=0, 0, (H15/I15))</f>
        <v>0</v>
      </c>
      <c r="H15" s="10">
        <v>0</v>
      </c>
      <c r="I15" s="10">
        <v>0</v>
      </c>
      <c r="J15" s="10">
        <v>1</v>
      </c>
      <c r="K15" s="13" t="str">
        <f>IF(M15=0, 0, (L15/M15))</f>
        <v>0</v>
      </c>
      <c r="L15" s="10">
        <v>56</v>
      </c>
      <c r="M15" s="10">
        <v>45</v>
      </c>
    </row>
    <row r="16" spans="1:13">
      <c r="A16" s="10" t="s">
        <v>28</v>
      </c>
      <c r="B16" s="11">
        <v>28</v>
      </c>
      <c r="C16" s="12" t="str">
        <f>IF(E16=0, 0, (D16/E16))</f>
        <v>0</v>
      </c>
      <c r="D16" s="11">
        <v>1098</v>
      </c>
      <c r="E16" s="11">
        <v>1115</v>
      </c>
      <c r="F16" s="11">
        <v>5</v>
      </c>
      <c r="G16" s="12" t="str">
        <f>IF(I16=0, 0, (H16/I16))</f>
        <v>0</v>
      </c>
      <c r="H16" s="11">
        <v>177</v>
      </c>
      <c r="I16" s="11">
        <v>190</v>
      </c>
      <c r="J16" s="11">
        <v>2</v>
      </c>
      <c r="K16" s="12" t="str">
        <f>IF(M16=0, 0, (L16/M16))</f>
        <v>0</v>
      </c>
      <c r="L16" s="11">
        <v>84</v>
      </c>
      <c r="M16" s="11">
        <v>85</v>
      </c>
    </row>
    <row r="17" spans="1:13">
      <c r="A17" s="10" t="s">
        <v>29</v>
      </c>
      <c r="B17" s="10">
        <v>7</v>
      </c>
      <c r="C17" s="13" t="str">
        <f>IF(E17=0, 0, (D17/E17))</f>
        <v>0</v>
      </c>
      <c r="D17" s="10">
        <v>246</v>
      </c>
      <c r="E17" s="10">
        <v>285</v>
      </c>
      <c r="F17" s="10">
        <v>2</v>
      </c>
      <c r="G17" s="13" t="str">
        <f>IF(I17=0, 0, (H17/I17))</f>
        <v>0</v>
      </c>
      <c r="H17" s="10">
        <v>53</v>
      </c>
      <c r="I17" s="10">
        <v>70</v>
      </c>
      <c r="J17" s="10">
        <v>1</v>
      </c>
      <c r="K17" s="13" t="str">
        <f>IF(M17=0, 0, (L17/M17))</f>
        <v>0</v>
      </c>
      <c r="L17" s="10">
        <v>75</v>
      </c>
      <c r="M17" s="10">
        <v>45</v>
      </c>
    </row>
    <row r="18" spans="1:13">
      <c r="A18" s="14" t="s">
        <v>30</v>
      </c>
      <c r="B18" s="15" t="str">
        <f>SUM(B6:B17)</f>
        <v>0</v>
      </c>
      <c r="C18" s="16" t="str">
        <f>IF(E18=0, 0, (D18/E18))</f>
        <v>0</v>
      </c>
      <c r="D18" s="15" t="str">
        <f>SUM(D6:D17)</f>
        <v>0</v>
      </c>
      <c r="E18" s="15" t="str">
        <f>SUM(E6:E17)</f>
        <v>0</v>
      </c>
      <c r="F18" s="15" t="str">
        <f>SUM(F6:F17)</f>
        <v>0</v>
      </c>
      <c r="G18" s="16" t="str">
        <f>IF(I18=0, 0, (H18/I18))</f>
        <v>0</v>
      </c>
      <c r="H18" s="15" t="str">
        <f>SUM(H6:H17)</f>
        <v>0</v>
      </c>
      <c r="I18" s="15" t="str">
        <f>SUM(I6:I17)</f>
        <v>0</v>
      </c>
      <c r="J18" s="15" t="str">
        <f>SUM(J6:J17)</f>
        <v>0</v>
      </c>
      <c r="K18" s="16" t="str">
        <f>IF(M18=0, 0, (L18/M18))</f>
        <v>0</v>
      </c>
      <c r="L18" s="15" t="str">
        <f>SUM(L6:L17)</f>
        <v>0</v>
      </c>
      <c r="M18" s="15" t="str">
        <f>SUM(M6:M17)</f>
        <v>0</v>
      </c>
    </row>
    <row r="20" spans="1:13">
      <c r="B20" s="9" t="s">
        <v>10</v>
      </c>
      <c r="C20" s="9"/>
      <c r="D20" s="9"/>
      <c r="E20" s="9"/>
      <c r="F20" s="9" t="s">
        <v>11</v>
      </c>
      <c r="G20" s="9"/>
      <c r="H20" s="9"/>
      <c r="I20" s="9"/>
      <c r="J20" s="9" t="s">
        <v>12</v>
      </c>
      <c r="K20" s="9"/>
      <c r="L20" s="9"/>
      <c r="M20" s="9"/>
    </row>
    <row r="21" spans="1:13">
      <c r="A21" s="9" t="s">
        <v>31</v>
      </c>
      <c r="B21" s="9" t="s">
        <v>14</v>
      </c>
      <c r="C21" s="9" t="s">
        <v>15</v>
      </c>
      <c r="D21" s="9" t="s">
        <v>16</v>
      </c>
      <c r="E21" s="9" t="s">
        <v>17</v>
      </c>
      <c r="F21" s="9" t="s">
        <v>14</v>
      </c>
      <c r="G21" s="9" t="s">
        <v>15</v>
      </c>
      <c r="H21" s="9" t="s">
        <v>16</v>
      </c>
      <c r="I21" s="9" t="s">
        <v>17</v>
      </c>
      <c r="J21" s="9" t="s">
        <v>14</v>
      </c>
      <c r="K21" s="9" t="s">
        <v>15</v>
      </c>
      <c r="L21" s="9" t="s">
        <v>16</v>
      </c>
      <c r="M21" s="9" t="s">
        <v>17</v>
      </c>
    </row>
    <row r="22" spans="1:13">
      <c r="A22" s="10" t="s">
        <v>32</v>
      </c>
      <c r="B22" s="11">
        <v>60</v>
      </c>
      <c r="C22" s="12" t="str">
        <f>IF(E22=0, 0, (D22/E22))</f>
        <v>0</v>
      </c>
      <c r="D22" s="11">
        <v>2184</v>
      </c>
      <c r="E22" s="11">
        <v>2370</v>
      </c>
      <c r="F22" s="11">
        <v>20</v>
      </c>
      <c r="G22" s="12" t="str">
        <f>IF(I22=0, 0, (H22/I22))</f>
        <v>0</v>
      </c>
      <c r="H22" s="11">
        <v>561</v>
      </c>
      <c r="I22" s="11">
        <v>745</v>
      </c>
      <c r="J22" s="11">
        <v>1</v>
      </c>
      <c r="K22" s="12" t="str">
        <f>IF(M22=0, 0, (L22/M22))</f>
        <v>0</v>
      </c>
      <c r="L22" s="11">
        <v>30</v>
      </c>
      <c r="M22" s="11">
        <v>40</v>
      </c>
    </row>
    <row r="23" spans="1:13">
      <c r="A23" s="10" t="s">
        <v>33</v>
      </c>
      <c r="B23" s="10">
        <v>53</v>
      </c>
      <c r="C23" s="13" t="str">
        <f>IF(E23=0, 0, (D23/E23))</f>
        <v>0</v>
      </c>
      <c r="D23" s="10">
        <v>1989</v>
      </c>
      <c r="E23" s="10">
        <v>1925</v>
      </c>
      <c r="F23" s="10">
        <v>25</v>
      </c>
      <c r="G23" s="13" t="str">
        <f>IF(I23=0, 0, (H23/I23))</f>
        <v>0</v>
      </c>
      <c r="H23" s="10">
        <v>661</v>
      </c>
      <c r="I23" s="10">
        <v>905</v>
      </c>
      <c r="J23" s="10">
        <v>4</v>
      </c>
      <c r="K23" s="13" t="str">
        <f>IF(M23=0, 0, (L23/M23))</f>
        <v>0</v>
      </c>
      <c r="L23" s="10">
        <v>171</v>
      </c>
      <c r="M23" s="10">
        <v>160</v>
      </c>
    </row>
    <row r="24" spans="1:13">
      <c r="A24" s="10" t="s">
        <v>34</v>
      </c>
      <c r="B24" s="11">
        <v>66</v>
      </c>
      <c r="C24" s="12" t="str">
        <f>IF(E24=0, 0, (D24/E24))</f>
        <v>0</v>
      </c>
      <c r="D24" s="11">
        <v>2592</v>
      </c>
      <c r="E24" s="11">
        <v>2629</v>
      </c>
      <c r="F24" s="11">
        <v>14</v>
      </c>
      <c r="G24" s="12" t="str">
        <f>IF(I24=0, 0, (H24/I24))</f>
        <v>0</v>
      </c>
      <c r="H24" s="11">
        <v>480</v>
      </c>
      <c r="I24" s="11">
        <v>530</v>
      </c>
      <c r="J24" s="11">
        <v>5</v>
      </c>
      <c r="K24" s="12" t="str">
        <f>IF(M24=0, 0, (L24/M24))</f>
        <v>0</v>
      </c>
      <c r="L24" s="11">
        <v>259</v>
      </c>
      <c r="M24" s="11">
        <v>220</v>
      </c>
    </row>
    <row r="25" spans="1:13">
      <c r="A25" s="14" t="s">
        <v>30</v>
      </c>
      <c r="B25" s="15" t="str">
        <f>SUM(B22:B24)</f>
        <v>0</v>
      </c>
      <c r="C25" s="16" t="str">
        <f>IF(E25=0, 0, (D25/E25))</f>
        <v>0</v>
      </c>
      <c r="D25" s="15" t="str">
        <f>SUM(D22:D24)</f>
        <v>0</v>
      </c>
      <c r="E25" s="15" t="str">
        <f>SUM(E22:E24)</f>
        <v>0</v>
      </c>
      <c r="F25" s="15" t="str">
        <f>SUM(F22:F24)</f>
        <v>0</v>
      </c>
      <c r="G25" s="16" t="str">
        <f>IF(I25=0, 0, (H25/I25))</f>
        <v>0</v>
      </c>
      <c r="H25" s="15" t="str">
        <f>SUM(H22:H24)</f>
        <v>0</v>
      </c>
      <c r="I25" s="15" t="str">
        <f>SUM(I22:I24)</f>
        <v>0</v>
      </c>
      <c r="J25" s="15" t="str">
        <f>SUM(J22:J24)</f>
        <v>0</v>
      </c>
      <c r="K25" s="16" t="str">
        <f>IF(M25=0, 0, (L25/M25))</f>
        <v>0</v>
      </c>
      <c r="L25" s="15" t="str">
        <f>SUM(L22:L24)</f>
        <v>0</v>
      </c>
      <c r="M25" s="15" t="str">
        <f>SUM(M22:M24)</f>
        <v>0</v>
      </c>
    </row>
    <row r="28" spans="1:13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</row>
    <row r="30" spans="1:13">
      <c r="A30" s="17" t="s">
        <v>36</v>
      </c>
      <c r="B30" s="18"/>
      <c r="C30" t="s">
        <v>37</v>
      </c>
      <c r="D30"/>
      <c r="E30"/>
      <c r="F30"/>
      <c r="G30"/>
      <c r="H30"/>
      <c r="I30"/>
      <c r="J30"/>
      <c r="K30"/>
      <c r="L30"/>
      <c r="M30"/>
    </row>
    <row r="31" spans="1:13">
      <c r="A31" s="17" t="s">
        <v>38</v>
      </c>
      <c r="B31" s="18"/>
      <c r="C31" t="s">
        <v>39</v>
      </c>
      <c r="D31"/>
      <c r="E31"/>
      <c r="F31"/>
      <c r="G31"/>
      <c r="H31"/>
      <c r="I31"/>
      <c r="J31"/>
      <c r="K31"/>
      <c r="L31"/>
      <c r="M31"/>
    </row>
    <row r="32" spans="1:13">
      <c r="A32" s="17" t="s">
        <v>40</v>
      </c>
      <c r="B32" s="18"/>
      <c r="C32" t="s">
        <v>41</v>
      </c>
      <c r="D32"/>
      <c r="E32"/>
      <c r="F32"/>
      <c r="G32"/>
      <c r="H32"/>
      <c r="I32"/>
      <c r="J32"/>
      <c r="K32"/>
      <c r="L32"/>
      <c r="M32"/>
    </row>
    <row r="33" spans="1:13">
      <c r="A33" s="17" t="s">
        <v>42</v>
      </c>
      <c r="B33" s="18"/>
      <c r="C33" t="s">
        <v>43</v>
      </c>
      <c r="D33"/>
      <c r="E33"/>
      <c r="F33"/>
      <c r="G33"/>
      <c r="H33"/>
      <c r="I33"/>
      <c r="J33"/>
      <c r="K33"/>
      <c r="L33"/>
      <c r="M33"/>
    </row>
    <row r="34" spans="1:13">
      <c r="A34" s="17" t="s">
        <v>44</v>
      </c>
      <c r="B34" s="18"/>
      <c r="C34" t="s">
        <v>45</v>
      </c>
      <c r="D34"/>
      <c r="E34"/>
      <c r="F34"/>
      <c r="G34"/>
      <c r="H34"/>
      <c r="I34"/>
      <c r="J34"/>
      <c r="K34"/>
      <c r="L34"/>
      <c r="M34"/>
    </row>
    <row r="35" spans="1:13">
      <c r="A35" s="17" t="s">
        <v>46</v>
      </c>
      <c r="B35" s="18"/>
      <c r="C35" t="s">
        <v>47</v>
      </c>
      <c r="D35"/>
      <c r="E35"/>
      <c r="F35"/>
      <c r="G35"/>
      <c r="H35"/>
      <c r="I35"/>
      <c r="J35"/>
      <c r="K35"/>
      <c r="L35"/>
      <c r="M35"/>
    </row>
    <row r="36" spans="1:13">
      <c r="A36" s="17" t="s">
        <v>48</v>
      </c>
      <c r="B36" s="18"/>
      <c r="C36" t="s">
        <v>49</v>
      </c>
      <c r="D36"/>
      <c r="E36"/>
      <c r="F36"/>
      <c r="G36"/>
      <c r="H36"/>
      <c r="I36"/>
      <c r="J36"/>
      <c r="K36"/>
      <c r="L36"/>
      <c r="M36"/>
    </row>
    <row r="37" spans="1:13">
      <c r="A37" s="17" t="s">
        <v>50</v>
      </c>
      <c r="B37" s="18"/>
      <c r="C37" t="s">
        <v>51</v>
      </c>
      <c r="D37"/>
      <c r="E37"/>
      <c r="F37"/>
      <c r="G37"/>
      <c r="H37"/>
      <c r="I37"/>
      <c r="J37"/>
      <c r="K37"/>
      <c r="L37"/>
      <c r="M3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M1"/>
    <mergeCell ref="A2:M2"/>
    <mergeCell ref="B4:E4"/>
    <mergeCell ref="F4:I4"/>
    <mergeCell ref="J4:M4"/>
    <mergeCell ref="B20:E20"/>
    <mergeCell ref="F20:I20"/>
    <mergeCell ref="J20:M20"/>
    <mergeCell ref="A28:M28"/>
    <mergeCell ref="A30:B30"/>
    <mergeCell ref="C30:M30"/>
    <mergeCell ref="A31:B31"/>
    <mergeCell ref="C31:M31"/>
    <mergeCell ref="A32:B32"/>
    <mergeCell ref="C32:M32"/>
    <mergeCell ref="A33:B33"/>
    <mergeCell ref="C33:M33"/>
    <mergeCell ref="A34:B34"/>
    <mergeCell ref="C34:M34"/>
    <mergeCell ref="A35:B35"/>
    <mergeCell ref="C35:M35"/>
    <mergeCell ref="A36:B36"/>
    <mergeCell ref="C36:M36"/>
    <mergeCell ref="A37:B37"/>
    <mergeCell ref="C37:M37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PSY&amp;RPrinted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34"/>
  <sheetViews>
    <sheetView tabSelected="0" workbookViewId="0" showGridLines="true" showRowColHeaders="1">
      <selection activeCell="C34" sqref="C34"/>
    </sheetView>
  </sheetViews>
  <sheetFormatPr defaultRowHeight="14.4" outlineLevelRow="0" outlineLevelCol="0"/>
  <cols>
    <col min="1" max="1" width="14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52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53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A4" s="9" t="s">
        <v>13</v>
      </c>
      <c r="B4" s="9" t="s">
        <v>54</v>
      </c>
      <c r="C4" s="9" t="s">
        <v>55</v>
      </c>
      <c r="D4" s="9" t="s">
        <v>56</v>
      </c>
      <c r="E4" s="1"/>
      <c r="F4" s="1"/>
    </row>
    <row r="5" spans="1:10">
      <c r="A5" s="10" t="s">
        <v>18</v>
      </c>
      <c r="B5" s="10" t="str">
        <f>SUMIFS(INDEX(course_data, 0, 16), INDEX(course_data, 0, 3), "=201610")</f>
        <v>0</v>
      </c>
      <c r="C5" s="10" t="str">
        <f>SUMIFS(INDEX(course_data, 0, 17), INDEX(course_data, 0, 3), "=201610")</f>
        <v>0</v>
      </c>
      <c r="D5" s="10" t="str">
        <f>IF(B5=0, 0, ROUND((B5/C5), 2))</f>
        <v>0</v>
      </c>
    </row>
    <row r="6" spans="1:10">
      <c r="A6" s="10" t="s">
        <v>19</v>
      </c>
      <c r="B6" s="11" t="str">
        <f>SUMIFS(INDEX(course_data, 0, 16), INDEX(course_data, 0, 3), "=201615")</f>
        <v>0</v>
      </c>
      <c r="C6" s="11" t="str">
        <f>SUMIFS(INDEX(course_data, 0, 17), INDEX(course_data, 0, 3), "=201615")</f>
        <v>0</v>
      </c>
      <c r="D6" s="11" t="str">
        <f>IF(B6=0, 0, ROUND((B6/C6), 2))</f>
        <v>0</v>
      </c>
    </row>
    <row r="7" spans="1:10">
      <c r="A7" s="10" t="s">
        <v>20</v>
      </c>
      <c r="B7" s="10" t="str">
        <f>SUMIFS(INDEX(course_data, 0, 16), INDEX(course_data, 0, 3), "=201620")</f>
        <v>0</v>
      </c>
      <c r="C7" s="10" t="str">
        <f>SUMIFS(INDEX(course_data, 0, 17), INDEX(course_data, 0, 3), "=201620")</f>
        <v>0</v>
      </c>
      <c r="D7" s="10" t="str">
        <f>IF(B7=0, 0, ROUND((B7/C7), 2))</f>
        <v>0</v>
      </c>
    </row>
    <row r="8" spans="1:10">
      <c r="A8" s="10" t="s">
        <v>21</v>
      </c>
      <c r="B8" s="11" t="str">
        <f>SUMIFS(INDEX(course_data, 0, 16), INDEX(course_data, 0, 3), "=201630")</f>
        <v>0</v>
      </c>
      <c r="C8" s="11" t="str">
        <f>SUMIFS(INDEX(course_data, 0, 17), INDEX(course_data, 0, 3), "=201630")</f>
        <v>0</v>
      </c>
      <c r="D8" s="11" t="str">
        <f>IF(B8=0, 0, ROUND((B8/C8), 2))</f>
        <v>0</v>
      </c>
    </row>
    <row r="9" spans="1:10">
      <c r="A9" s="10" t="s">
        <v>22</v>
      </c>
      <c r="B9" s="10" t="str">
        <f>SUMIFS(INDEX(course_data, 0, 16), INDEX(course_data, 0, 3), "=201710")</f>
        <v>0</v>
      </c>
      <c r="C9" s="10" t="str">
        <f>SUMIFS(INDEX(course_data, 0, 17), INDEX(course_data, 0, 3), "=201710")</f>
        <v>0</v>
      </c>
      <c r="D9" s="10" t="str">
        <f>IF(B9=0, 0, ROUND((B9/C9), 2))</f>
        <v>0</v>
      </c>
    </row>
    <row r="10" spans="1:10">
      <c r="A10" s="10" t="s">
        <v>23</v>
      </c>
      <c r="B10" s="11" t="str">
        <f>SUMIFS(INDEX(course_data, 0, 16), INDEX(course_data, 0, 3), "=201715")</f>
        <v>0</v>
      </c>
      <c r="C10" s="11" t="str">
        <f>SUMIFS(INDEX(course_data, 0, 17), INDEX(course_data, 0, 3), "=201715")</f>
        <v>0</v>
      </c>
      <c r="D10" s="11" t="str">
        <f>IF(B10=0, 0, ROUND((B10/C10), 2))</f>
        <v>0</v>
      </c>
    </row>
    <row r="11" spans="1:10">
      <c r="A11" s="10" t="s">
        <v>24</v>
      </c>
      <c r="B11" s="10" t="str">
        <f>SUMIFS(INDEX(course_data, 0, 16), INDEX(course_data, 0, 3), "=201720")</f>
        <v>0</v>
      </c>
      <c r="C11" s="10" t="str">
        <f>SUMIFS(INDEX(course_data, 0, 17), INDEX(course_data, 0, 3), "=201720")</f>
        <v>0</v>
      </c>
      <c r="D11" s="10" t="str">
        <f>IF(B11=0, 0, ROUND((B11/C11), 2))</f>
        <v>0</v>
      </c>
    </row>
    <row r="12" spans="1:10">
      <c r="A12" s="10" t="s">
        <v>25</v>
      </c>
      <c r="B12" s="11" t="str">
        <f>SUMIFS(INDEX(course_data, 0, 16), INDEX(course_data, 0, 3), "=201730")</f>
        <v>0</v>
      </c>
      <c r="C12" s="11" t="str">
        <f>SUMIFS(INDEX(course_data, 0, 17), INDEX(course_data, 0, 3), "=201730")</f>
        <v>0</v>
      </c>
      <c r="D12" s="11" t="str">
        <f>IF(B12=0, 0, ROUND((B12/C12), 2))</f>
        <v>0</v>
      </c>
    </row>
    <row r="13" spans="1:10">
      <c r="A13" s="10" t="s">
        <v>26</v>
      </c>
      <c r="B13" s="10" t="str">
        <f>SUMIFS(INDEX(course_data, 0, 16), INDEX(course_data, 0, 3), "=201810")</f>
        <v>0</v>
      </c>
      <c r="C13" s="10" t="str">
        <f>SUMIFS(INDEX(course_data, 0, 17), INDEX(course_data, 0, 3), "=201810")</f>
        <v>0</v>
      </c>
      <c r="D13" s="10" t="str">
        <f>IF(B13=0, 0, ROUND((B13/C13), 2))</f>
        <v>0</v>
      </c>
    </row>
    <row r="14" spans="1:10">
      <c r="A14" s="10" t="s">
        <v>27</v>
      </c>
      <c r="B14" s="11" t="str">
        <f>SUMIFS(INDEX(course_data, 0, 16), INDEX(course_data, 0, 3), "=201815")</f>
        <v>0</v>
      </c>
      <c r="C14" s="11" t="str">
        <f>SUMIFS(INDEX(course_data, 0, 17), INDEX(course_data, 0, 3), "=201815")</f>
        <v>0</v>
      </c>
      <c r="D14" s="11" t="str">
        <f>IF(B14=0, 0, ROUND((B14/C14), 2))</f>
        <v>0</v>
      </c>
    </row>
    <row r="15" spans="1:10">
      <c r="A15" s="10" t="s">
        <v>28</v>
      </c>
      <c r="B15" s="10" t="str">
        <f>SUMIFS(INDEX(course_data, 0, 16), INDEX(course_data, 0, 3), "=201820")</f>
        <v>0</v>
      </c>
      <c r="C15" s="10" t="str">
        <f>SUMIFS(INDEX(course_data, 0, 17), INDEX(course_data, 0, 3), "=201820")</f>
        <v>0</v>
      </c>
      <c r="D15" s="10" t="str">
        <f>IF(B15=0, 0, ROUND((B15/C15), 2))</f>
        <v>0</v>
      </c>
    </row>
    <row r="16" spans="1:10">
      <c r="A16" s="10" t="s">
        <v>29</v>
      </c>
      <c r="B16" s="11" t="str">
        <f>SUMIFS(INDEX(course_data, 0, 16), INDEX(course_data, 0, 3), "=201830")</f>
        <v>0</v>
      </c>
      <c r="C16" s="11" t="str">
        <f>SUMIFS(INDEX(course_data, 0, 17), INDEX(course_data, 0, 3), "=201830")</f>
        <v>0</v>
      </c>
      <c r="D16" s="11" t="str">
        <f>IF(B16=0, 0, ROUND((B16/C16), 2))</f>
        <v>0</v>
      </c>
    </row>
    <row r="19" spans="1:10">
      <c r="A19" s="9" t="s">
        <v>31</v>
      </c>
      <c r="B19" s="9" t="s">
        <v>54</v>
      </c>
      <c r="C19" s="9" t="s">
        <v>55</v>
      </c>
      <c r="D19" s="9" t="s">
        <v>56</v>
      </c>
      <c r="E19" s="1"/>
      <c r="F19" s="1"/>
    </row>
    <row r="20" spans="1:10">
      <c r="A20" s="10" t="s">
        <v>57</v>
      </c>
      <c r="B20" s="11" t="str">
        <f>SUMIFS(INDEX(course_data, 0, 16), INDEX(course_data, 0, 1), "=2015-2016")</f>
        <v>0</v>
      </c>
      <c r="C20" s="11" t="str">
        <f>SUMIFS(INDEX(course_data, 0, 17), INDEX(course_data, 0, 1), "=2015-2016")</f>
        <v>0</v>
      </c>
      <c r="D20" s="11" t="str">
        <f>IF(B20=0, 0, ROUND((B20/C20), 2))</f>
        <v>0</v>
      </c>
    </row>
    <row r="21" spans="1:10">
      <c r="A21" s="10" t="s">
        <v>58</v>
      </c>
      <c r="B21" s="10" t="str">
        <f>SUMIFS(INDEX(course_data, 0, 16), INDEX(course_data, 0, 1), "=2016-2017")</f>
        <v>0</v>
      </c>
      <c r="C21" s="10" t="str">
        <f>SUMIFS(INDEX(course_data, 0, 17), INDEX(course_data, 0, 1), "=2016-2017")</f>
        <v>0</v>
      </c>
      <c r="D21" s="10" t="str">
        <f>IF(B21=0, 0, ROUND((B21/C21), 2))</f>
        <v>0</v>
      </c>
    </row>
    <row r="22" spans="1:10">
      <c r="A22" s="10" t="s">
        <v>1</v>
      </c>
      <c r="B22" s="11" t="str">
        <f>SUMIFS(INDEX(course_data, 0, 16), INDEX(course_data, 0, 1), "=2017-2018")</f>
        <v>0</v>
      </c>
      <c r="C22" s="11" t="str">
        <f>SUMIFS(INDEX(course_data, 0, 17), INDEX(course_data, 0, 1), "=2017-2018")</f>
        <v>0</v>
      </c>
      <c r="D22" s="11" t="str">
        <f>IF(B22=0, 0, ROUND((B22/C22), 2))</f>
        <v>0</v>
      </c>
    </row>
    <row r="25" spans="1:10">
      <c r="A25" s="19" t="s">
        <v>59</v>
      </c>
      <c r="B25" s="20"/>
      <c r="C25" s="20"/>
      <c r="D25" s="20"/>
      <c r="E25" s="20"/>
      <c r="F25" s="20"/>
      <c r="G25" s="20"/>
      <c r="H25" s="20"/>
      <c r="I25" s="20"/>
      <c r="J25" s="20"/>
    </row>
    <row r="26" spans="1:10">
      <c r="A26" s="19" t="s">
        <v>60</v>
      </c>
      <c r="B26" s="20"/>
      <c r="C26" s="20"/>
      <c r="D26" s="20"/>
      <c r="E26" s="20"/>
      <c r="F26" s="20"/>
      <c r="G26" s="20"/>
      <c r="H26" s="20"/>
      <c r="I26" s="20"/>
      <c r="J26" s="20"/>
    </row>
    <row r="29" spans="1:10">
      <c r="A29" s="6" t="s">
        <v>35</v>
      </c>
      <c r="B29" s="8"/>
      <c r="C29" s="8"/>
      <c r="D29" s="8"/>
      <c r="E29" s="8"/>
      <c r="F29" s="8"/>
      <c r="G29" s="8"/>
      <c r="H29" s="8"/>
      <c r="I29" s="8"/>
      <c r="J29" s="8"/>
    </row>
    <row r="31" spans="1:10">
      <c r="A31" s="17" t="s">
        <v>36</v>
      </c>
      <c r="B31" s="18"/>
      <c r="C31" s="21" t="s">
        <v>37</v>
      </c>
      <c r="D31"/>
      <c r="E31"/>
      <c r="F31"/>
      <c r="G31"/>
      <c r="H31"/>
      <c r="I31"/>
      <c r="J31"/>
    </row>
    <row r="32" spans="1:10" customHeight="1" ht="40">
      <c r="A32" s="22" t="s">
        <v>61</v>
      </c>
      <c r="B32" s="18"/>
      <c r="C32" s="23" t="s">
        <v>62</v>
      </c>
      <c r="D32"/>
      <c r="E32"/>
      <c r="F32"/>
      <c r="G32"/>
      <c r="H32"/>
      <c r="I32"/>
      <c r="J32"/>
    </row>
    <row r="33" spans="1:10" customHeight="1" ht="30">
      <c r="A33" s="22" t="s">
        <v>63</v>
      </c>
      <c r="B33" s="18"/>
      <c r="C33" s="23" t="s">
        <v>64</v>
      </c>
      <c r="D33"/>
      <c r="E33"/>
      <c r="F33"/>
      <c r="G33"/>
      <c r="H33"/>
      <c r="I33"/>
      <c r="J33"/>
    </row>
    <row r="34" spans="1:10" customHeight="1" ht="30">
      <c r="A34" s="24" t="s">
        <v>65</v>
      </c>
      <c r="B34" s="18"/>
      <c r="C34" s="23" t="s">
        <v>66</v>
      </c>
      <c r="D34"/>
      <c r="E34"/>
      <c r="F34"/>
      <c r="G34"/>
      <c r="H34"/>
      <c r="I34"/>
      <c r="J3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25:J25"/>
    <mergeCell ref="A26:J26"/>
    <mergeCell ref="A29:J29"/>
    <mergeCell ref="A31:B31"/>
    <mergeCell ref="C31:J31"/>
    <mergeCell ref="A32:B32"/>
    <mergeCell ref="C32:J32"/>
    <mergeCell ref="A33:B33"/>
    <mergeCell ref="C33:J33"/>
    <mergeCell ref="A34:B34"/>
    <mergeCell ref="C34:J3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PSY&amp;RPrinted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36"/>
  <sheetViews>
    <sheetView tabSelected="0" workbookViewId="0" showGridLines="true" showRowColHeaders="1">
      <selection activeCell="A36" sqref="A36"/>
    </sheetView>
  </sheetViews>
  <sheetFormatPr defaultRowHeight="14.4" outlineLevelRow="0" outlineLevelCol="0"/>
  <cols>
    <col min="1" max="1" width="16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67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68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</v>
      </c>
      <c r="C4" s="9"/>
      <c r="D4" s="9"/>
      <c r="E4" s="9" t="s">
        <v>11</v>
      </c>
      <c r="F4" s="9"/>
      <c r="G4" s="9"/>
      <c r="H4" s="9" t="s">
        <v>12</v>
      </c>
      <c r="I4" s="9"/>
      <c r="J4" s="9"/>
    </row>
    <row r="5" spans="1:10">
      <c r="A5" s="9" t="s">
        <v>13</v>
      </c>
      <c r="B5" s="9" t="s">
        <v>69</v>
      </c>
      <c r="C5" s="9" t="s">
        <v>70</v>
      </c>
      <c r="D5" s="9" t="s">
        <v>71</v>
      </c>
      <c r="E5" s="9" t="s">
        <v>69</v>
      </c>
      <c r="F5" s="9" t="s">
        <v>70</v>
      </c>
      <c r="G5" s="9" t="s">
        <v>71</v>
      </c>
      <c r="H5" s="9" t="s">
        <v>69</v>
      </c>
      <c r="I5" s="9" t="s">
        <v>70</v>
      </c>
      <c r="J5" s="9" t="s">
        <v>71</v>
      </c>
    </row>
    <row r="6" spans="1:10">
      <c r="A6" s="10" t="s">
        <v>18</v>
      </c>
      <c r="B6" s="11" t="str">
        <f>SUMIFS(INDEX(course_data, 0, 10), INDEX(course_data, 0, 3), "=201610", INDEX(course_data, 0, 6), "=day")</f>
        <v>0</v>
      </c>
      <c r="C6" s="12" t="str">
        <f>IF(B6=0, 0, ((SUMIFS(INDEX(course_data, 0, 11), INDEX(course_data, 0, 3), "=201610", INDEX(course_data, 0, 6), "=day"))/B6))</f>
        <v>0</v>
      </c>
      <c r="D6" s="12" t="str">
        <f>IF(B6=0, 0, ((SUMIFS(INDEX(course_data, 0, 13), INDEX(course_data, 0, 3), "=201610", INDEX(course_data, 0, 6), "=day"))/B6))</f>
        <v>0</v>
      </c>
      <c r="E6" s="11" t="str">
        <f>SUMIFS(INDEX(course_data, 0, 10), INDEX(course_data, 0, 3), "=201610", INDEX(course_data, 0, 6), "=ex_day")</f>
        <v>0</v>
      </c>
      <c r="F6" s="12" t="str">
        <f>IF(E6=0, 0, ((SUMIFS(INDEX(course_data, 0, 11), INDEX(course_data, 0, 3), "=201610", INDEX(course_data, 0, 6), "=ex_day"))/E6))</f>
        <v>0</v>
      </c>
      <c r="G6" s="12" t="str">
        <f>IF(E6=0, 0, ((SUMIFS(INDEX(course_data, 0, 13), INDEX(course_data, 0, 3), "=201610", INDEX(course_data, 0, 6), "=ex_day"))/E6))</f>
        <v>0</v>
      </c>
      <c r="H6" s="11" t="str">
        <f>SUMIFS(INDEX(course_data, 0, 10), INDEX(course_data, 0, 3), "=201610", INDEX(course_data, 0, 6), "=online")</f>
        <v>0</v>
      </c>
      <c r="I6" s="12" t="str">
        <f>IF(H6=0, 0, ((SUMIFS(INDEX(course_data, 0, 11), INDEX(course_data, 0, 3), "=201610", INDEX(course_data, 0, 6), "=online"))/H6))</f>
        <v>0</v>
      </c>
      <c r="J6" s="12" t="str">
        <f>IF(H6=0, 0, ((SUMIFS(INDEX(course_data, 0, 13), INDEX(course_data, 0, 3), "=201610", INDEX(course_data, 0, 6), "=online"))/H6))</f>
        <v>0</v>
      </c>
    </row>
    <row r="7" spans="1:10">
      <c r="A7" s="10" t="s">
        <v>19</v>
      </c>
      <c r="B7" s="10" t="str">
        <f>SUMIFS(INDEX(course_data, 0, 10), INDEX(course_data, 0, 3), "=201615", INDEX(course_data, 0, 6), "=day")</f>
        <v>0</v>
      </c>
      <c r="C7" s="13" t="str">
        <f>IF(B7=0, 0, ((SUMIFS(INDEX(course_data, 0, 11), INDEX(course_data, 0, 3), "=201615", INDEX(course_data, 0, 6), "=day"))/B7))</f>
        <v>0</v>
      </c>
      <c r="D7" s="13" t="str">
        <f>IF(B7=0, 0, ((SUMIFS(INDEX(course_data, 0, 13), INDEX(course_data, 0, 3), "=201615", INDEX(course_data, 0, 6), "=day"))/B7))</f>
        <v>0</v>
      </c>
      <c r="E7" s="10" t="str">
        <f>SUMIFS(INDEX(course_data, 0, 10), INDEX(course_data, 0, 3), "=201615", INDEX(course_data, 0, 6), "=ex_day")</f>
        <v>0</v>
      </c>
      <c r="F7" s="13" t="str">
        <f>IF(E7=0, 0, ((SUMIFS(INDEX(course_data, 0, 11), INDEX(course_data, 0, 3), "=201615", INDEX(course_data, 0, 6), "=ex_day"))/E7))</f>
        <v>0</v>
      </c>
      <c r="G7" s="13" t="str">
        <f>IF(E7=0, 0, ((SUMIFS(INDEX(course_data, 0, 13), INDEX(course_data, 0, 3), "=201615", INDEX(course_data, 0, 6), "=ex_day"))/E7))</f>
        <v>0</v>
      </c>
      <c r="H7" s="10" t="str">
        <f>SUMIFS(INDEX(course_data, 0, 10), INDEX(course_data, 0, 3), "=201615", INDEX(course_data, 0, 6), "=online")</f>
        <v>0</v>
      </c>
      <c r="I7" s="13" t="str">
        <f>IF(H7=0, 0, ((SUMIFS(INDEX(course_data, 0, 11), INDEX(course_data, 0, 3), "=201615", INDEX(course_data, 0, 6), "=online"))/H7))</f>
        <v>0</v>
      </c>
      <c r="J7" s="13" t="str">
        <f>IF(H7=0, 0, ((SUMIFS(INDEX(course_data, 0, 13), INDEX(course_data, 0, 3), "=201615", INDEX(course_data, 0, 6), "=online"))/H7))</f>
        <v>0</v>
      </c>
    </row>
    <row r="8" spans="1:10">
      <c r="A8" s="10" t="s">
        <v>20</v>
      </c>
      <c r="B8" s="11" t="str">
        <f>SUMIFS(INDEX(course_data, 0, 10), INDEX(course_data, 0, 3), "=201620", INDEX(course_data, 0, 6), "=day")</f>
        <v>0</v>
      </c>
      <c r="C8" s="12" t="str">
        <f>IF(B8=0, 0, ((SUMIFS(INDEX(course_data, 0, 11), INDEX(course_data, 0, 3), "=201620", INDEX(course_data, 0, 6), "=day"))/B8))</f>
        <v>0</v>
      </c>
      <c r="D8" s="12" t="str">
        <f>IF(B8=0, 0, ((SUMIFS(INDEX(course_data, 0, 13), INDEX(course_data, 0, 3), "=201620", INDEX(course_data, 0, 6), "=day"))/B8))</f>
        <v>0</v>
      </c>
      <c r="E8" s="11" t="str">
        <f>SUMIFS(INDEX(course_data, 0, 10), INDEX(course_data, 0, 3), "=201620", INDEX(course_data, 0, 6), "=ex_day")</f>
        <v>0</v>
      </c>
      <c r="F8" s="12" t="str">
        <f>IF(E8=0, 0, ((SUMIFS(INDEX(course_data, 0, 11), INDEX(course_data, 0, 3), "=201620", INDEX(course_data, 0, 6), "=ex_day"))/E8))</f>
        <v>0</v>
      </c>
      <c r="G8" s="12" t="str">
        <f>IF(E8=0, 0, ((SUMIFS(INDEX(course_data, 0, 13), INDEX(course_data, 0, 3), "=201620", INDEX(course_data, 0, 6), "=ex_day"))/E8))</f>
        <v>0</v>
      </c>
      <c r="H8" s="11" t="str">
        <f>SUMIFS(INDEX(course_data, 0, 10), INDEX(course_data, 0, 3), "=201620", INDEX(course_data, 0, 6), "=online")</f>
        <v>0</v>
      </c>
      <c r="I8" s="12" t="str">
        <f>IF(H8=0, 0, ((SUMIFS(INDEX(course_data, 0, 11), INDEX(course_data, 0, 3), "=201620", INDEX(course_data, 0, 6), "=online"))/H8))</f>
        <v>0</v>
      </c>
      <c r="J8" s="12" t="str">
        <f>IF(H8=0, 0, ((SUMIFS(INDEX(course_data, 0, 13), INDEX(course_data, 0, 3), "=201620", INDEX(course_data, 0, 6), "=online"))/H8))</f>
        <v>0</v>
      </c>
    </row>
    <row r="9" spans="1:10">
      <c r="A9" s="10" t="s">
        <v>21</v>
      </c>
      <c r="B9" s="10" t="str">
        <f>SUMIFS(INDEX(course_data, 0, 10), INDEX(course_data, 0, 3), "=201630", INDEX(course_data, 0, 6), "=day")</f>
        <v>0</v>
      </c>
      <c r="C9" s="13" t="str">
        <f>IF(B9=0, 0, ((SUMIFS(INDEX(course_data, 0, 11), INDEX(course_data, 0, 3), "=201630", INDEX(course_data, 0, 6), "=day"))/B9))</f>
        <v>0</v>
      </c>
      <c r="D9" s="13" t="str">
        <f>IF(B9=0, 0, ((SUMIFS(INDEX(course_data, 0, 13), INDEX(course_data, 0, 3), "=201630", INDEX(course_data, 0, 6), "=day"))/B9))</f>
        <v>0</v>
      </c>
      <c r="E9" s="10" t="str">
        <f>SUMIFS(INDEX(course_data, 0, 10), INDEX(course_data, 0, 3), "=201630", INDEX(course_data, 0, 6), "=ex_day")</f>
        <v>0</v>
      </c>
      <c r="F9" s="13" t="str">
        <f>IF(E9=0, 0, ((SUMIFS(INDEX(course_data, 0, 11), INDEX(course_data, 0, 3), "=201630", INDEX(course_data, 0, 6), "=ex_day"))/E9))</f>
        <v>0</v>
      </c>
      <c r="G9" s="13" t="str">
        <f>IF(E9=0, 0, ((SUMIFS(INDEX(course_data, 0, 13), INDEX(course_data, 0, 3), "=201630", INDEX(course_data, 0, 6), "=ex_day"))/E9))</f>
        <v>0</v>
      </c>
      <c r="H9" s="10" t="str">
        <f>SUMIFS(INDEX(course_data, 0, 10), INDEX(course_data, 0, 3), "=201630", INDEX(course_data, 0, 6), "=online")</f>
        <v>0</v>
      </c>
      <c r="I9" s="13" t="str">
        <f>IF(H9=0, 0, ((SUMIFS(INDEX(course_data, 0, 11), INDEX(course_data, 0, 3), "=201630", INDEX(course_data, 0, 6), "=online"))/H9))</f>
        <v>0</v>
      </c>
      <c r="J9" s="13" t="str">
        <f>IF(H9=0, 0, ((SUMIFS(INDEX(course_data, 0, 13), INDEX(course_data, 0, 3), "=201630", INDEX(course_data, 0, 6), "=online"))/H9))</f>
        <v>0</v>
      </c>
    </row>
    <row r="10" spans="1:10">
      <c r="A10" s="10" t="s">
        <v>22</v>
      </c>
      <c r="B10" s="11" t="str">
        <f>SUMIFS(INDEX(course_data, 0, 10), INDEX(course_data, 0, 3), "=201710", INDEX(course_data, 0, 6), "=day")</f>
        <v>0</v>
      </c>
      <c r="C10" s="12" t="str">
        <f>IF(B10=0, 0, ((SUMIFS(INDEX(course_data, 0, 11), INDEX(course_data, 0, 3), "=201710", INDEX(course_data, 0, 6), "=day"))/B10))</f>
        <v>0</v>
      </c>
      <c r="D10" s="12" t="str">
        <f>IF(B10=0, 0, ((SUMIFS(INDEX(course_data, 0, 13), INDEX(course_data, 0, 3), "=201710", INDEX(course_data, 0, 6), "=day"))/B10))</f>
        <v>0</v>
      </c>
      <c r="E10" s="11" t="str">
        <f>SUMIFS(INDEX(course_data, 0, 10), INDEX(course_data, 0, 3), "=201710", INDEX(course_data, 0, 6), "=ex_day")</f>
        <v>0</v>
      </c>
      <c r="F10" s="12" t="str">
        <f>IF(E10=0, 0, ((SUMIFS(INDEX(course_data, 0, 11), INDEX(course_data, 0, 3), "=201710", INDEX(course_data, 0, 6), "=ex_day"))/E10))</f>
        <v>0</v>
      </c>
      <c r="G10" s="12" t="str">
        <f>IF(E10=0, 0, ((SUMIFS(INDEX(course_data, 0, 13), INDEX(course_data, 0, 3), "=201710", INDEX(course_data, 0, 6), "=ex_day"))/E10))</f>
        <v>0</v>
      </c>
      <c r="H10" s="11" t="str">
        <f>SUMIFS(INDEX(course_data, 0, 10), INDEX(course_data, 0, 3), "=201710", INDEX(course_data, 0, 6), "=online")</f>
        <v>0</v>
      </c>
      <c r="I10" s="12" t="str">
        <f>IF(H10=0, 0, ((SUMIFS(INDEX(course_data, 0, 11), INDEX(course_data, 0, 3), "=201710", INDEX(course_data, 0, 6), "=online"))/H10))</f>
        <v>0</v>
      </c>
      <c r="J10" s="12" t="str">
        <f>IF(H10=0, 0, ((SUMIFS(INDEX(course_data, 0, 13), INDEX(course_data, 0, 3), "=201710", INDEX(course_data, 0, 6), "=online"))/H10))</f>
        <v>0</v>
      </c>
    </row>
    <row r="11" spans="1:10">
      <c r="A11" s="10" t="s">
        <v>23</v>
      </c>
      <c r="B11" s="10" t="str">
        <f>SUMIFS(INDEX(course_data, 0, 10), INDEX(course_data, 0, 3), "=201715", INDEX(course_data, 0, 6), "=day")</f>
        <v>0</v>
      </c>
      <c r="C11" s="13" t="str">
        <f>IF(B11=0, 0, ((SUMIFS(INDEX(course_data, 0, 11), INDEX(course_data, 0, 3), "=201715", INDEX(course_data, 0, 6), "=day"))/B11))</f>
        <v>0</v>
      </c>
      <c r="D11" s="13" t="str">
        <f>IF(B11=0, 0, ((SUMIFS(INDEX(course_data, 0, 13), INDEX(course_data, 0, 3), "=201715", INDEX(course_data, 0, 6), "=day"))/B11))</f>
        <v>0</v>
      </c>
      <c r="E11" s="10" t="str">
        <f>SUMIFS(INDEX(course_data, 0, 10), INDEX(course_data, 0, 3), "=201715", INDEX(course_data, 0, 6), "=ex_day")</f>
        <v>0</v>
      </c>
      <c r="F11" s="13" t="str">
        <f>IF(E11=0, 0, ((SUMIFS(INDEX(course_data, 0, 11), INDEX(course_data, 0, 3), "=201715", INDEX(course_data, 0, 6), "=ex_day"))/E11))</f>
        <v>0</v>
      </c>
      <c r="G11" s="13" t="str">
        <f>IF(E11=0, 0, ((SUMIFS(INDEX(course_data, 0, 13), INDEX(course_data, 0, 3), "=201715", INDEX(course_data, 0, 6), "=ex_day"))/E11))</f>
        <v>0</v>
      </c>
      <c r="H11" s="10" t="str">
        <f>SUMIFS(INDEX(course_data, 0, 10), INDEX(course_data, 0, 3), "=201715", INDEX(course_data, 0, 6), "=online")</f>
        <v>0</v>
      </c>
      <c r="I11" s="13" t="str">
        <f>IF(H11=0, 0, ((SUMIFS(INDEX(course_data, 0, 11), INDEX(course_data, 0, 3), "=201715", INDEX(course_data, 0, 6), "=online"))/H11))</f>
        <v>0</v>
      </c>
      <c r="J11" s="13" t="str">
        <f>IF(H11=0, 0, ((SUMIFS(INDEX(course_data, 0, 13), INDEX(course_data, 0, 3), "=201715", INDEX(course_data, 0, 6), "=online"))/H11))</f>
        <v>0</v>
      </c>
    </row>
    <row r="12" spans="1:10">
      <c r="A12" s="10" t="s">
        <v>24</v>
      </c>
      <c r="B12" s="11" t="str">
        <f>SUMIFS(INDEX(course_data, 0, 10), INDEX(course_data, 0, 3), "=201720", INDEX(course_data, 0, 6), "=day")</f>
        <v>0</v>
      </c>
      <c r="C12" s="12" t="str">
        <f>IF(B12=0, 0, ((SUMIFS(INDEX(course_data, 0, 11), INDEX(course_data, 0, 3), "=201720", INDEX(course_data, 0, 6), "=day"))/B12))</f>
        <v>0</v>
      </c>
      <c r="D12" s="12" t="str">
        <f>IF(B12=0, 0, ((SUMIFS(INDEX(course_data, 0, 13), INDEX(course_data, 0, 3), "=201720", INDEX(course_data, 0, 6), "=day"))/B12))</f>
        <v>0</v>
      </c>
      <c r="E12" s="11" t="str">
        <f>SUMIFS(INDEX(course_data, 0, 10), INDEX(course_data, 0, 3), "=201720", INDEX(course_data, 0, 6), "=ex_day")</f>
        <v>0</v>
      </c>
      <c r="F12" s="12" t="str">
        <f>IF(E12=0, 0, ((SUMIFS(INDEX(course_data, 0, 11), INDEX(course_data, 0, 3), "=201720", INDEX(course_data, 0, 6), "=ex_day"))/E12))</f>
        <v>0</v>
      </c>
      <c r="G12" s="12" t="str">
        <f>IF(E12=0, 0, ((SUMIFS(INDEX(course_data, 0, 13), INDEX(course_data, 0, 3), "=201720", INDEX(course_data, 0, 6), "=ex_day"))/E12))</f>
        <v>0</v>
      </c>
      <c r="H12" s="11" t="str">
        <f>SUMIFS(INDEX(course_data, 0, 10), INDEX(course_data, 0, 3), "=201720", INDEX(course_data, 0, 6), "=online")</f>
        <v>0</v>
      </c>
      <c r="I12" s="12" t="str">
        <f>IF(H12=0, 0, ((SUMIFS(INDEX(course_data, 0, 11), INDEX(course_data, 0, 3), "=201720", INDEX(course_data, 0, 6), "=online"))/H12))</f>
        <v>0</v>
      </c>
      <c r="J12" s="12" t="str">
        <f>IF(H12=0, 0, ((SUMIFS(INDEX(course_data, 0, 13), INDEX(course_data, 0, 3), "=201720", INDEX(course_data, 0, 6), "=online"))/H12))</f>
        <v>0</v>
      </c>
    </row>
    <row r="13" spans="1:10">
      <c r="A13" s="10" t="s">
        <v>25</v>
      </c>
      <c r="B13" s="10" t="str">
        <f>SUMIFS(INDEX(course_data, 0, 10), INDEX(course_data, 0, 3), "=201730", INDEX(course_data, 0, 6), "=day")</f>
        <v>0</v>
      </c>
      <c r="C13" s="13" t="str">
        <f>IF(B13=0, 0, ((SUMIFS(INDEX(course_data, 0, 11), INDEX(course_data, 0, 3), "=201730", INDEX(course_data, 0, 6), "=day"))/B13))</f>
        <v>0</v>
      </c>
      <c r="D13" s="13" t="str">
        <f>IF(B13=0, 0, ((SUMIFS(INDEX(course_data, 0, 13), INDEX(course_data, 0, 3), "=201730", INDEX(course_data, 0, 6), "=day"))/B13))</f>
        <v>0</v>
      </c>
      <c r="E13" s="10" t="str">
        <f>SUMIFS(INDEX(course_data, 0, 10), INDEX(course_data, 0, 3), "=201730", INDEX(course_data, 0, 6), "=ex_day")</f>
        <v>0</v>
      </c>
      <c r="F13" s="13" t="str">
        <f>IF(E13=0, 0, ((SUMIFS(INDEX(course_data, 0, 11), INDEX(course_data, 0, 3), "=201730", INDEX(course_data, 0, 6), "=ex_day"))/E13))</f>
        <v>0</v>
      </c>
      <c r="G13" s="13" t="str">
        <f>IF(E13=0, 0, ((SUMIFS(INDEX(course_data, 0, 13), INDEX(course_data, 0, 3), "=201730", INDEX(course_data, 0, 6), "=ex_day"))/E13))</f>
        <v>0</v>
      </c>
      <c r="H13" s="10" t="str">
        <f>SUMIFS(INDEX(course_data, 0, 10), INDEX(course_data, 0, 3), "=201730", INDEX(course_data, 0, 6), "=online")</f>
        <v>0</v>
      </c>
      <c r="I13" s="13" t="str">
        <f>IF(H13=0, 0, ((SUMIFS(INDEX(course_data, 0, 11), INDEX(course_data, 0, 3), "=201730", INDEX(course_data, 0, 6), "=online"))/H13))</f>
        <v>0</v>
      </c>
      <c r="J13" s="13" t="str">
        <f>IF(H13=0, 0, ((SUMIFS(INDEX(course_data, 0, 13), INDEX(course_data, 0, 3), "=201730", INDEX(course_data, 0, 6), "=online"))/H13))</f>
        <v>0</v>
      </c>
    </row>
    <row r="14" spans="1:10">
      <c r="A14" s="10" t="s">
        <v>26</v>
      </c>
      <c r="B14" s="11" t="str">
        <f>SUMIFS(INDEX(course_data, 0, 10), INDEX(course_data, 0, 3), "=201810", INDEX(course_data, 0, 6), "=day")</f>
        <v>0</v>
      </c>
      <c r="C14" s="12" t="str">
        <f>IF(B14=0, 0, ((SUMIFS(INDEX(course_data, 0, 11), INDEX(course_data, 0, 3), "=201810", INDEX(course_data, 0, 6), "=day"))/B14))</f>
        <v>0</v>
      </c>
      <c r="D14" s="12" t="str">
        <f>IF(B14=0, 0, ((SUMIFS(INDEX(course_data, 0, 13), INDEX(course_data, 0, 3), "=201810", INDEX(course_data, 0, 6), "=day"))/B14))</f>
        <v>0</v>
      </c>
      <c r="E14" s="11" t="str">
        <f>SUMIFS(INDEX(course_data, 0, 10), INDEX(course_data, 0, 3), "=201810", INDEX(course_data, 0, 6), "=ex_day")</f>
        <v>0</v>
      </c>
      <c r="F14" s="12" t="str">
        <f>IF(E14=0, 0, ((SUMIFS(INDEX(course_data, 0, 11), INDEX(course_data, 0, 3), "=201810", INDEX(course_data, 0, 6), "=ex_day"))/E14))</f>
        <v>0</v>
      </c>
      <c r="G14" s="12" t="str">
        <f>IF(E14=0, 0, ((SUMIFS(INDEX(course_data, 0, 13), INDEX(course_data, 0, 3), "=201810", INDEX(course_data, 0, 6), "=ex_day"))/E14))</f>
        <v>0</v>
      </c>
      <c r="H14" s="11" t="str">
        <f>SUMIFS(INDEX(course_data, 0, 10), INDEX(course_data, 0, 3), "=201810", INDEX(course_data, 0, 6), "=online")</f>
        <v>0</v>
      </c>
      <c r="I14" s="12" t="str">
        <f>IF(H14=0, 0, ((SUMIFS(INDEX(course_data, 0, 11), INDEX(course_data, 0, 3), "=201810", INDEX(course_data, 0, 6), "=online"))/H14))</f>
        <v>0</v>
      </c>
      <c r="J14" s="12" t="str">
        <f>IF(H14=0, 0, ((SUMIFS(INDEX(course_data, 0, 13), INDEX(course_data, 0, 3), "=201810", INDEX(course_data, 0, 6), "=online"))/H14))</f>
        <v>0</v>
      </c>
    </row>
    <row r="15" spans="1:10">
      <c r="A15" s="10" t="s">
        <v>27</v>
      </c>
      <c r="B15" s="10" t="str">
        <f>SUMIFS(INDEX(course_data, 0, 10), INDEX(course_data, 0, 3), "=201815", INDEX(course_data, 0, 6), "=day")</f>
        <v>0</v>
      </c>
      <c r="C15" s="13" t="str">
        <f>IF(B15=0, 0, ((SUMIFS(INDEX(course_data, 0, 11), INDEX(course_data, 0, 3), "=201815", INDEX(course_data, 0, 6), "=day"))/B15))</f>
        <v>0</v>
      </c>
      <c r="D15" s="13" t="str">
        <f>IF(B15=0, 0, ((SUMIFS(INDEX(course_data, 0, 13), INDEX(course_data, 0, 3), "=201815", INDEX(course_data, 0, 6), "=day"))/B15))</f>
        <v>0</v>
      </c>
      <c r="E15" s="10" t="str">
        <f>SUMIFS(INDEX(course_data, 0, 10), INDEX(course_data, 0, 3), "=201815", INDEX(course_data, 0, 6), "=ex_day")</f>
        <v>0</v>
      </c>
      <c r="F15" s="13" t="str">
        <f>IF(E15=0, 0, ((SUMIFS(INDEX(course_data, 0, 11), INDEX(course_data, 0, 3), "=201815", INDEX(course_data, 0, 6), "=ex_day"))/E15))</f>
        <v>0</v>
      </c>
      <c r="G15" s="13" t="str">
        <f>IF(E15=0, 0, ((SUMIFS(INDEX(course_data, 0, 13), INDEX(course_data, 0, 3), "=201815", INDEX(course_data, 0, 6), "=ex_day"))/E15))</f>
        <v>0</v>
      </c>
      <c r="H15" s="10" t="str">
        <f>SUMIFS(INDEX(course_data, 0, 10), INDEX(course_data, 0, 3), "=201815", INDEX(course_data, 0, 6), "=online")</f>
        <v>0</v>
      </c>
      <c r="I15" s="13" t="str">
        <f>IF(H15=0, 0, ((SUMIFS(INDEX(course_data, 0, 11), INDEX(course_data, 0, 3), "=201815", INDEX(course_data, 0, 6), "=online"))/H15))</f>
        <v>0</v>
      </c>
      <c r="J15" s="13" t="str">
        <f>IF(H15=0, 0, ((SUMIFS(INDEX(course_data, 0, 13), INDEX(course_data, 0, 3), "=201815", INDEX(course_data, 0, 6), "=online"))/H15))</f>
        <v>0</v>
      </c>
    </row>
    <row r="16" spans="1:10">
      <c r="A16" s="10" t="s">
        <v>28</v>
      </c>
      <c r="B16" s="11" t="str">
        <f>SUMIFS(INDEX(course_data, 0, 10), INDEX(course_data, 0, 3), "=201820", INDEX(course_data, 0, 6), "=day")</f>
        <v>0</v>
      </c>
      <c r="C16" s="12" t="str">
        <f>IF(B16=0, 0, ((SUMIFS(INDEX(course_data, 0, 11), INDEX(course_data, 0, 3), "=201820", INDEX(course_data, 0, 6), "=day"))/B16))</f>
        <v>0</v>
      </c>
      <c r="D16" s="12" t="str">
        <f>IF(B16=0, 0, ((SUMIFS(INDEX(course_data, 0, 13), INDEX(course_data, 0, 3), "=201820", INDEX(course_data, 0, 6), "=day"))/B16))</f>
        <v>0</v>
      </c>
      <c r="E16" s="11" t="str">
        <f>SUMIFS(INDEX(course_data, 0, 10), INDEX(course_data, 0, 3), "=201820", INDEX(course_data, 0, 6), "=ex_day")</f>
        <v>0</v>
      </c>
      <c r="F16" s="12" t="str">
        <f>IF(E16=0, 0, ((SUMIFS(INDEX(course_data, 0, 11), INDEX(course_data, 0, 3), "=201820", INDEX(course_data, 0, 6), "=ex_day"))/E16))</f>
        <v>0</v>
      </c>
      <c r="G16" s="12" t="str">
        <f>IF(E16=0, 0, ((SUMIFS(INDEX(course_data, 0, 13), INDEX(course_data, 0, 3), "=201820", INDEX(course_data, 0, 6), "=ex_day"))/E16))</f>
        <v>0</v>
      </c>
      <c r="H16" s="11" t="str">
        <f>SUMIFS(INDEX(course_data, 0, 10), INDEX(course_data, 0, 3), "=201820", INDEX(course_data, 0, 6), "=online")</f>
        <v>0</v>
      </c>
      <c r="I16" s="12" t="str">
        <f>IF(H16=0, 0, ((SUMIFS(INDEX(course_data, 0, 11), INDEX(course_data, 0, 3), "=201820", INDEX(course_data, 0, 6), "=online"))/H16))</f>
        <v>0</v>
      </c>
      <c r="J16" s="12" t="str">
        <f>IF(H16=0, 0, ((SUMIFS(INDEX(course_data, 0, 13), INDEX(course_data, 0, 3), "=201820", INDEX(course_data, 0, 6), "=online"))/H16))</f>
        <v>0</v>
      </c>
    </row>
    <row r="17" spans="1:10">
      <c r="A17" s="10" t="s">
        <v>29</v>
      </c>
      <c r="B17" s="10" t="str">
        <f>SUMIFS(INDEX(course_data, 0, 10), INDEX(course_data, 0, 3), "=201830", INDEX(course_data, 0, 6), "=day")</f>
        <v>0</v>
      </c>
      <c r="C17" s="13" t="str">
        <f>IF(B17=0, 0, ((SUMIFS(INDEX(course_data, 0, 11), INDEX(course_data, 0, 3), "=201830", INDEX(course_data, 0, 6), "=day"))/B17))</f>
        <v>0</v>
      </c>
      <c r="D17" s="13" t="str">
        <f>IF(B17=0, 0, ((SUMIFS(INDEX(course_data, 0, 13), INDEX(course_data, 0, 3), "=201830", INDEX(course_data, 0, 6), "=day"))/B17))</f>
        <v>0</v>
      </c>
      <c r="E17" s="10" t="str">
        <f>SUMIFS(INDEX(course_data, 0, 10), INDEX(course_data, 0, 3), "=201830", INDEX(course_data, 0, 6), "=ex_day")</f>
        <v>0</v>
      </c>
      <c r="F17" s="13" t="str">
        <f>IF(E17=0, 0, ((SUMIFS(INDEX(course_data, 0, 11), INDEX(course_data, 0, 3), "=201830", INDEX(course_data, 0, 6), "=ex_day"))/E17))</f>
        <v>0</v>
      </c>
      <c r="G17" s="13" t="str">
        <f>IF(E17=0, 0, ((SUMIFS(INDEX(course_data, 0, 13), INDEX(course_data, 0, 3), "=201830", INDEX(course_data, 0, 6), "=ex_day"))/E17))</f>
        <v>0</v>
      </c>
      <c r="H17" s="10" t="str">
        <f>SUMIFS(INDEX(course_data, 0, 10), INDEX(course_data, 0, 3), "=201830", INDEX(course_data, 0, 6), "=online")</f>
        <v>0</v>
      </c>
      <c r="I17" s="13" t="str">
        <f>IF(H17=0, 0, ((SUMIFS(INDEX(course_data, 0, 11), INDEX(course_data, 0, 3), "=201830", INDEX(course_data, 0, 6), "=online"))/H17))</f>
        <v>0</v>
      </c>
      <c r="J17" s="13" t="str">
        <f>IF(H17=0, 0, ((SUMIFS(INDEX(course_data, 0, 13), INDEX(course_data, 0, 3), "=201830", INDEX(course_data, 0, 6), "=online"))/H17))</f>
        <v>0</v>
      </c>
    </row>
    <row r="18" spans="1:10">
      <c r="A18" s="14" t="s">
        <v>30</v>
      </c>
      <c r="B18" s="15" t="str">
        <f>SUM(B6:B17)</f>
        <v>0</v>
      </c>
      <c r="C18" s="16" t="str">
        <f>IF(B18=0, 0, ((B6*C6)+(B7*C7)+(B8*C8)+(B9*C9)+(B10*C10)+(B11*C11)+(B12*C12)+(B13*C13)+(B14*C14)+(B15*C15)+(B16*C16)+(B17*C17))/B18)</f>
        <v>0</v>
      </c>
      <c r="D18" s="16" t="str">
        <f>IF(B18=0, 0,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0, ((E6*F6)+(E7*F7)+(E8*F8)+(E9*F9)+(E10*F10)+(E11*F11)+(E12*F12)+(E13*F13)+(E14*F14)+(E15*F15)+(E16*F16)+(E17*F17))/E18)</f>
        <v>0</v>
      </c>
      <c r="G18" s="16" t="str">
        <f>IF(E18=0, 0,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0, ((H6*I6)+(H7*I7)+(H8*I8)+(H9*I9)+(H10*I10)+(H11*I11)+(H12*I12)+(H13*I13)+(H14*I14)+(H15*I15)+(H16*I16)+(H17*I17))/H18)</f>
        <v>0</v>
      </c>
      <c r="J18" s="16" t="str">
        <f>IF(H18=0, 0, ((H6*J6)+(H7*J7)+(H8*J8)+(H9*J9)+(H10*J10)+(H11*J11)+(H12*J12)+(H13*J13)+(H14*J14)+(H15*J15)+(H16*J16)+(H17*J17))/H18)</f>
        <v>0</v>
      </c>
    </row>
    <row r="20" spans="1:10">
      <c r="B20" s="9" t="s">
        <v>10</v>
      </c>
      <c r="C20" s="9"/>
      <c r="D20" s="9"/>
      <c r="E20" s="9" t="s">
        <v>11</v>
      </c>
      <c r="F20" s="9"/>
      <c r="G20" s="9"/>
      <c r="H20" s="9" t="s">
        <v>12</v>
      </c>
      <c r="I20" s="9"/>
      <c r="J20" s="9"/>
    </row>
    <row r="21" spans="1:10">
      <c r="A21" s="9" t="s">
        <v>31</v>
      </c>
      <c r="B21" s="9" t="s">
        <v>69</v>
      </c>
      <c r="C21" s="9" t="s">
        <v>70</v>
      </c>
      <c r="D21" s="9" t="s">
        <v>71</v>
      </c>
      <c r="E21" s="9" t="s">
        <v>69</v>
      </c>
      <c r="F21" s="9" t="s">
        <v>70</v>
      </c>
      <c r="G21" s="9" t="s">
        <v>71</v>
      </c>
      <c r="H21" s="9" t="s">
        <v>69</v>
      </c>
      <c r="I21" s="9" t="s">
        <v>70</v>
      </c>
      <c r="J21" s="9" t="s">
        <v>71</v>
      </c>
    </row>
    <row r="22" spans="1:10">
      <c r="A22" s="10" t="s">
        <v>57</v>
      </c>
      <c r="B22" s="11" t="str">
        <f>SUMIFS(INDEX(course_data, 0, 10), INDEX(course_data, 0, 1), "=2015-2016", INDEX(course_data, 0, 6), "=day")</f>
        <v>0</v>
      </c>
      <c r="C22" s="12" t="str">
        <f>IF(B22=0, 0, ((SUMIFS(INDEX(course_data, 0, 11), INDEX(course_data, 0, 1), "=2015-2016", INDEX(course_data, 0, 6), "=day"))/B22))</f>
        <v>0</v>
      </c>
      <c r="D22" s="12" t="str">
        <f>IF(B22=0, 0, ((SUMIFS(INDEX(course_data, 0, 13), INDEX(course_data, 0, 1), "=2015-2016", INDEX(course_data, 0, 6), "=day"))/B22))</f>
        <v>0</v>
      </c>
      <c r="E22" s="11" t="str">
        <f>SUMIFS(INDEX(course_data, 0, 10), INDEX(course_data, 0, 1), "=2015-2016", INDEX(course_data, 0, 6), "=ex_day")</f>
        <v>0</v>
      </c>
      <c r="F22" s="12" t="str">
        <f>IF(E22=0, 0, ((SUMIFS(INDEX(course_data, 0, 11), INDEX(course_data, 0, 1), "=2015-2016", INDEX(course_data, 0, 6), "=ex_day"))/E22))</f>
        <v>0</v>
      </c>
      <c r="G22" s="12" t="str">
        <f>IF(E22=0, 0, ((SUMIFS(INDEX(course_data, 0, 13), INDEX(course_data, 0, 1), "=2015-2016", INDEX(course_data, 0, 6), "=ex_day"))/E22))</f>
        <v>0</v>
      </c>
      <c r="H22" s="11" t="str">
        <f>SUMIFS(INDEX(course_data, 0, 10), INDEX(course_data, 0, 1), "=2015-2016", INDEX(course_data, 0, 6), "=online")</f>
        <v>0</v>
      </c>
      <c r="I22" s="12" t="str">
        <f>IF(H22=0, 0, ((SUMIFS(INDEX(course_data, 0, 11), INDEX(course_data, 0, 1), "=2015-2016", INDEX(course_data, 0, 6), "=online"))/H22))</f>
        <v>0</v>
      </c>
      <c r="J22" s="12" t="str">
        <f>IF(H22=0, 0, ((SUMIFS(INDEX(course_data, 0, 13), INDEX(course_data, 0, 1), "=2015-2016", INDEX(course_data, 0, 6), "=online"))/H22))</f>
        <v>0</v>
      </c>
    </row>
    <row r="23" spans="1:10">
      <c r="A23" s="10" t="s">
        <v>58</v>
      </c>
      <c r="B23" s="10" t="str">
        <f>SUMIFS(INDEX(course_data, 0, 10), INDEX(course_data, 0, 1), "=2016-2017", INDEX(course_data, 0, 6), "=day")</f>
        <v>0</v>
      </c>
      <c r="C23" s="13" t="str">
        <f>IF(B23=0, 0, ((SUMIFS(INDEX(course_data, 0, 11), INDEX(course_data, 0, 1), "=2016-2017", INDEX(course_data, 0, 6), "=day"))/B23))</f>
        <v>0</v>
      </c>
      <c r="D23" s="13" t="str">
        <f>IF(B23=0, 0, ((SUMIFS(INDEX(course_data, 0, 13), INDEX(course_data, 0, 1), "=2016-2017", INDEX(course_data, 0, 6), "=day"))/B23))</f>
        <v>0</v>
      </c>
      <c r="E23" s="10" t="str">
        <f>SUMIFS(INDEX(course_data, 0, 10), INDEX(course_data, 0, 1), "=2016-2017", INDEX(course_data, 0, 6), "=ex_day")</f>
        <v>0</v>
      </c>
      <c r="F23" s="13" t="str">
        <f>IF(E23=0, 0, ((SUMIFS(INDEX(course_data, 0, 11), INDEX(course_data, 0, 1), "=2016-2017", INDEX(course_data, 0, 6), "=ex_day"))/E23))</f>
        <v>0</v>
      </c>
      <c r="G23" s="13" t="str">
        <f>IF(E23=0, 0, ((SUMIFS(INDEX(course_data, 0, 13), INDEX(course_data, 0, 1), "=2016-2017", INDEX(course_data, 0, 6), "=ex_day"))/E23))</f>
        <v>0</v>
      </c>
      <c r="H23" s="10" t="str">
        <f>SUMIFS(INDEX(course_data, 0, 10), INDEX(course_data, 0, 1), "=2016-2017", INDEX(course_data, 0, 6), "=online")</f>
        <v>0</v>
      </c>
      <c r="I23" s="13" t="str">
        <f>IF(H23=0, 0, ((SUMIFS(INDEX(course_data, 0, 11), INDEX(course_data, 0, 1), "=2016-2017", INDEX(course_data, 0, 6), "=online"))/H23))</f>
        <v>0</v>
      </c>
      <c r="J23" s="13" t="str">
        <f>IF(H23=0, 0, ((SUMIFS(INDEX(course_data, 0, 13), INDEX(course_data, 0, 1), "=2016-2017", INDEX(course_data, 0, 6), "=online"))/H23))</f>
        <v>0</v>
      </c>
    </row>
    <row r="24" spans="1:10">
      <c r="A24" s="10" t="s">
        <v>1</v>
      </c>
      <c r="B24" s="11" t="str">
        <f>SUMIFS(INDEX(course_data, 0, 10), INDEX(course_data, 0, 1), "=2017-2018", INDEX(course_data, 0, 6), "=day")</f>
        <v>0</v>
      </c>
      <c r="C24" s="12" t="str">
        <f>IF(B24=0, 0, ((SUMIFS(INDEX(course_data, 0, 11), INDEX(course_data, 0, 1), "=2017-2018", INDEX(course_data, 0, 6), "=day"))/B24))</f>
        <v>0</v>
      </c>
      <c r="D24" s="12" t="str">
        <f>IF(B24=0, 0, ((SUMIFS(INDEX(course_data, 0, 13), INDEX(course_data, 0, 1), "=2017-2018", INDEX(course_data, 0, 6), "=day"))/B24))</f>
        <v>0</v>
      </c>
      <c r="E24" s="11" t="str">
        <f>SUMIFS(INDEX(course_data, 0, 10), INDEX(course_data, 0, 1), "=2017-2018", INDEX(course_data, 0, 6), "=ex_day")</f>
        <v>0</v>
      </c>
      <c r="F24" s="12" t="str">
        <f>IF(E24=0, 0, ((SUMIFS(INDEX(course_data, 0, 11), INDEX(course_data, 0, 1), "=2017-2018", INDEX(course_data, 0, 6), "=ex_day"))/E24))</f>
        <v>0</v>
      </c>
      <c r="G24" s="12" t="str">
        <f>IF(E24=0, 0, ((SUMIFS(INDEX(course_data, 0, 13), INDEX(course_data, 0, 1), "=2017-2018", INDEX(course_data, 0, 6), "=ex_day"))/E24))</f>
        <v>0</v>
      </c>
      <c r="H24" s="11" t="str">
        <f>SUMIFS(INDEX(course_data, 0, 10), INDEX(course_data, 0, 1), "=2017-2018", INDEX(course_data, 0, 6), "=online")</f>
        <v>0</v>
      </c>
      <c r="I24" s="12" t="str">
        <f>IF(H24=0, 0, ((SUMIFS(INDEX(course_data, 0, 11), INDEX(course_data, 0, 1), "=2017-2018", INDEX(course_data, 0, 6), "=online"))/H24))</f>
        <v>0</v>
      </c>
      <c r="J24" s="12" t="str">
        <f>IF(H24=0, 0, ((SUMIFS(INDEX(course_data, 0, 13), INDEX(course_data, 0, 1), "=2017-2018", INDEX(course_data, 0, 6), "=online"))/H24))</f>
        <v>0</v>
      </c>
    </row>
    <row r="25" spans="1:10">
      <c r="A25" s="14" t="s">
        <v>30</v>
      </c>
      <c r="B25" s="15" t="str">
        <f>SUM(B22:B24)</f>
        <v>0</v>
      </c>
      <c r="C25" s="16" t="str">
        <f>IF(B25=0, 0, ((B22*C22)+(B23*C23)+(B24*C24))/B25)</f>
        <v>0</v>
      </c>
      <c r="D25" s="16" t="str">
        <f>IF(B25=0, 0, ((B22*D22)+(B23*D23)+(B24*D24))/B25)</f>
        <v>0</v>
      </c>
      <c r="E25" s="15" t="str">
        <f>SUM(E22:E24)</f>
        <v>0</v>
      </c>
      <c r="F25" s="16" t="str">
        <f>IF(E25=0, 0, ((E22*F22)+(E23*F23)+(E24*F24))/E25)</f>
        <v>0</v>
      </c>
      <c r="G25" s="16" t="str">
        <f>IF(E25=0, 0, ((E22*G22)+(E23*G23)+(E24*G24))/E25)</f>
        <v>0</v>
      </c>
      <c r="H25" s="15" t="str">
        <f>SUM(H22:H24)</f>
        <v>0</v>
      </c>
      <c r="I25" s="16" t="str">
        <f>IF(H25=0, 0, ((H22*I22)+(H23*I23)+(H24*I24))/H25)</f>
        <v>0</v>
      </c>
      <c r="J25" s="16" t="str">
        <f>IF(H25=0, 0, ((H22*J22)+(H23*J23)+(H24*J24))/H25)</f>
        <v>0</v>
      </c>
    </row>
    <row r="28" spans="1:10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</row>
    <row r="30" spans="1:10">
      <c r="A30" s="17" t="s">
        <v>36</v>
      </c>
      <c r="B30" s="18"/>
      <c r="C30" t="s">
        <v>37</v>
      </c>
      <c r="D30"/>
      <c r="E30"/>
      <c r="F30"/>
      <c r="G30"/>
      <c r="H30"/>
      <c r="I30"/>
      <c r="J30"/>
    </row>
    <row r="31" spans="1:10">
      <c r="A31" s="17" t="s">
        <v>38</v>
      </c>
      <c r="B31" s="18"/>
      <c r="C31" t="s">
        <v>39</v>
      </c>
      <c r="D31"/>
      <c r="E31"/>
      <c r="F31"/>
      <c r="G31"/>
      <c r="H31"/>
      <c r="I31"/>
      <c r="J31"/>
    </row>
    <row r="32" spans="1:10">
      <c r="A32" s="17" t="s">
        <v>40</v>
      </c>
      <c r="B32" s="18"/>
      <c r="C32" t="s">
        <v>41</v>
      </c>
      <c r="D32"/>
      <c r="E32"/>
      <c r="F32"/>
      <c r="G32"/>
      <c r="H32"/>
      <c r="I32"/>
      <c r="J32"/>
    </row>
    <row r="33" spans="1:10">
      <c r="A33" s="17" t="s">
        <v>42</v>
      </c>
      <c r="B33" s="18"/>
      <c r="C33" t="s">
        <v>43</v>
      </c>
      <c r="D33"/>
      <c r="E33"/>
      <c r="F33"/>
      <c r="G33"/>
      <c r="H33"/>
      <c r="I33"/>
      <c r="J33"/>
    </row>
    <row r="34" spans="1:10">
      <c r="A34" s="17" t="s">
        <v>48</v>
      </c>
      <c r="B34" s="18"/>
      <c r="C34" t="s">
        <v>49</v>
      </c>
      <c r="D34"/>
      <c r="E34"/>
      <c r="F34"/>
      <c r="G34"/>
      <c r="H34"/>
      <c r="I34"/>
      <c r="J34"/>
    </row>
    <row r="35" spans="1:10">
      <c r="A35" s="17" t="s">
        <v>72</v>
      </c>
      <c r="B35" s="18"/>
      <c r="C35" t="s">
        <v>73</v>
      </c>
      <c r="D35"/>
      <c r="E35"/>
      <c r="F35"/>
      <c r="G35"/>
      <c r="H35"/>
      <c r="I35"/>
      <c r="J35"/>
    </row>
    <row r="36" spans="1:10">
      <c r="A36" s="17" t="s">
        <v>74</v>
      </c>
      <c r="B36" s="18"/>
      <c r="C36" t="s">
        <v>75</v>
      </c>
      <c r="D36"/>
      <c r="E36"/>
      <c r="F36"/>
      <c r="G36"/>
      <c r="H36"/>
      <c r="I36"/>
      <c r="J3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  <mergeCell ref="B20:D20"/>
    <mergeCell ref="E20:G20"/>
    <mergeCell ref="H20:J20"/>
    <mergeCell ref="A28:J28"/>
    <mergeCell ref="A30:B30"/>
    <mergeCell ref="C30:J30"/>
    <mergeCell ref="A31:B31"/>
    <mergeCell ref="C31:J31"/>
    <mergeCell ref="A32:B32"/>
    <mergeCell ref="C32:J32"/>
    <mergeCell ref="A33:B33"/>
    <mergeCell ref="C33:J33"/>
    <mergeCell ref="A34:B34"/>
    <mergeCell ref="C34:J34"/>
    <mergeCell ref="A35:B35"/>
    <mergeCell ref="C35:J35"/>
    <mergeCell ref="A36:B36"/>
    <mergeCell ref="C36:J36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PSY&amp;RPrinted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33"/>
  <sheetViews>
    <sheetView tabSelected="0" workbookViewId="0" showGridLines="true" showRowColHeaders="1">
      <selection activeCell="A33" sqref="A33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0" customWidth="true" style="0"/>
    <col min="4" max="4" width="10" customWidth="true" style="0"/>
    <col min="5" max="5" width="6" customWidth="true" style="0"/>
    <col min="6" max="6" width="10" customWidth="true" style="0"/>
    <col min="7" max="7" width="10" customWidth="true" style="0"/>
    <col min="8" max="8" width="6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</cols>
  <sheetData>
    <row r="1" spans="1:16">
      <c r="A1" s="6" t="s">
        <v>76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>
      <c r="A2" s="7" t="s">
        <v>77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4" spans="1:16">
      <c r="B4" s="9" t="s">
        <v>78</v>
      </c>
      <c r="C4" s="9"/>
      <c r="D4" s="9"/>
      <c r="E4" s="9" t="s">
        <v>79</v>
      </c>
      <c r="F4" s="9"/>
      <c r="G4" s="9"/>
      <c r="H4" s="9" t="s">
        <v>80</v>
      </c>
      <c r="I4" s="9"/>
      <c r="J4" s="9"/>
      <c r="K4" s="9" t="s">
        <v>81</v>
      </c>
      <c r="L4" s="9"/>
      <c r="M4" s="9"/>
      <c r="N4" s="9" t="s">
        <v>82</v>
      </c>
      <c r="O4" s="9"/>
      <c r="P4" s="9"/>
    </row>
    <row r="5" spans="1:16">
      <c r="A5" s="9" t="s">
        <v>13</v>
      </c>
      <c r="B5" s="9" t="s">
        <v>83</v>
      </c>
      <c r="C5" s="9" t="s">
        <v>84</v>
      </c>
      <c r="D5" s="9" t="s">
        <v>85</v>
      </c>
      <c r="E5" s="9" t="s">
        <v>83</v>
      </c>
      <c r="F5" s="9" t="s">
        <v>84</v>
      </c>
      <c r="G5" s="9" t="s">
        <v>85</v>
      </c>
      <c r="H5" s="9" t="s">
        <v>83</v>
      </c>
      <c r="I5" s="9" t="s">
        <v>84</v>
      </c>
      <c r="J5" s="9" t="s">
        <v>85</v>
      </c>
      <c r="K5" s="9" t="s">
        <v>83</v>
      </c>
      <c r="L5" s="9" t="s">
        <v>84</v>
      </c>
      <c r="M5" s="9" t="s">
        <v>85</v>
      </c>
      <c r="N5" s="9" t="s">
        <v>83</v>
      </c>
      <c r="O5" s="9" t="s">
        <v>84</v>
      </c>
      <c r="P5" s="9" t="s">
        <v>85</v>
      </c>
    </row>
    <row r="6" spans="1:16">
      <c r="A6" s="10" t="s">
        <v>18</v>
      </c>
      <c r="B6" s="11">
        <v>1</v>
      </c>
      <c r="C6" s="12">
        <v>1</v>
      </c>
      <c r="D6" s="12">
        <v>1</v>
      </c>
      <c r="E6" s="11">
        <v>707</v>
      </c>
      <c r="F6" s="12">
        <v>0.7991513</v>
      </c>
      <c r="G6" s="12">
        <v>0.9236209</v>
      </c>
      <c r="H6" s="11">
        <v>4</v>
      </c>
      <c r="I6" s="12">
        <v>0.75</v>
      </c>
      <c r="J6" s="12">
        <v>0.75</v>
      </c>
      <c r="K6" s="11">
        <v>0</v>
      </c>
      <c r="L6" s="12">
        <v>0</v>
      </c>
      <c r="M6" s="12">
        <v>0</v>
      </c>
      <c r="N6" s="11">
        <v>552</v>
      </c>
      <c r="O6" s="12">
        <v>0.6811594</v>
      </c>
      <c r="P6" s="12">
        <v>0.8985507</v>
      </c>
    </row>
    <row r="7" spans="1:16">
      <c r="A7" s="10" t="s">
        <v>19</v>
      </c>
      <c r="B7" s="10">
        <v>2</v>
      </c>
      <c r="C7" s="13">
        <v>1</v>
      </c>
      <c r="D7" s="13">
        <v>1</v>
      </c>
      <c r="E7" s="10">
        <v>119</v>
      </c>
      <c r="F7" s="13">
        <v>0.9243697</v>
      </c>
      <c r="G7" s="13">
        <v>0.9579832</v>
      </c>
      <c r="H7" s="10">
        <v>1</v>
      </c>
      <c r="I7" s="13">
        <v>1</v>
      </c>
      <c r="J7" s="13">
        <v>1</v>
      </c>
      <c r="K7" s="10">
        <v>0</v>
      </c>
      <c r="L7" s="13">
        <v>0</v>
      </c>
      <c r="M7" s="13">
        <v>0</v>
      </c>
      <c r="N7" s="10">
        <v>93</v>
      </c>
      <c r="O7" s="13">
        <v>0.8709677</v>
      </c>
      <c r="P7" s="13">
        <v>0.9354839</v>
      </c>
    </row>
    <row r="8" spans="1:16">
      <c r="A8" s="10" t="s">
        <v>20</v>
      </c>
      <c r="B8" s="11">
        <v>0</v>
      </c>
      <c r="C8" s="12">
        <v>0</v>
      </c>
      <c r="D8" s="12">
        <v>0</v>
      </c>
      <c r="E8" s="11">
        <v>569</v>
      </c>
      <c r="F8" s="12">
        <v>0.7627417</v>
      </c>
      <c r="G8" s="12">
        <v>0.8927944</v>
      </c>
      <c r="H8" s="11">
        <v>6</v>
      </c>
      <c r="I8" s="12">
        <v>0.6666667</v>
      </c>
      <c r="J8" s="12">
        <v>0.8333333</v>
      </c>
      <c r="K8" s="11">
        <v>0</v>
      </c>
      <c r="L8" s="12">
        <v>0</v>
      </c>
      <c r="M8" s="12">
        <v>0</v>
      </c>
      <c r="N8" s="11">
        <v>474</v>
      </c>
      <c r="O8" s="12">
        <v>0.6434599</v>
      </c>
      <c r="P8" s="12">
        <v>0.8481013</v>
      </c>
    </row>
    <row r="9" spans="1:16">
      <c r="A9" s="10" t="s">
        <v>21</v>
      </c>
      <c r="B9" s="10">
        <v>0</v>
      </c>
      <c r="C9" s="13">
        <v>0</v>
      </c>
      <c r="D9" s="13">
        <v>0</v>
      </c>
      <c r="E9" s="10">
        <v>65</v>
      </c>
      <c r="F9" s="13">
        <v>0.8461538</v>
      </c>
      <c r="G9" s="13">
        <v>0.9538462</v>
      </c>
      <c r="H9" s="10">
        <v>1</v>
      </c>
      <c r="I9" s="13">
        <v>1</v>
      </c>
      <c r="J9" s="13">
        <v>1</v>
      </c>
      <c r="K9" s="10">
        <v>0</v>
      </c>
      <c r="L9" s="13">
        <v>0</v>
      </c>
      <c r="M9" s="13">
        <v>0</v>
      </c>
      <c r="N9" s="10">
        <v>181</v>
      </c>
      <c r="O9" s="13">
        <v>0.8729282</v>
      </c>
      <c r="P9" s="13">
        <v>0.9558011</v>
      </c>
    </row>
    <row r="10" spans="1:16">
      <c r="A10" s="10" t="s">
        <v>22</v>
      </c>
      <c r="B10" s="11">
        <v>2</v>
      </c>
      <c r="C10" s="12">
        <v>0.5</v>
      </c>
      <c r="D10" s="12">
        <v>1</v>
      </c>
      <c r="E10" s="11">
        <v>453</v>
      </c>
      <c r="F10" s="12">
        <v>0.8189845</v>
      </c>
      <c r="G10" s="12">
        <v>0.9293598</v>
      </c>
      <c r="H10" s="11">
        <v>2</v>
      </c>
      <c r="I10" s="12">
        <v>1</v>
      </c>
      <c r="J10" s="12">
        <v>1</v>
      </c>
      <c r="K10" s="11">
        <v>0</v>
      </c>
      <c r="L10" s="12">
        <v>0</v>
      </c>
      <c r="M10" s="12">
        <v>0</v>
      </c>
      <c r="N10" s="11">
        <v>725</v>
      </c>
      <c r="O10" s="12">
        <v>0.7103448</v>
      </c>
      <c r="P10" s="12">
        <v>0.92</v>
      </c>
    </row>
    <row r="11" spans="1:16">
      <c r="A11" s="10" t="s">
        <v>23</v>
      </c>
      <c r="B11" s="10">
        <v>0</v>
      </c>
      <c r="C11" s="13">
        <v>0</v>
      </c>
      <c r="D11" s="13">
        <v>0</v>
      </c>
      <c r="E11" s="10">
        <v>79</v>
      </c>
      <c r="F11" s="13">
        <v>0.9746835</v>
      </c>
      <c r="G11" s="13">
        <v>0.9873418</v>
      </c>
      <c r="H11" s="10">
        <v>1</v>
      </c>
      <c r="I11" s="13">
        <v>1</v>
      </c>
      <c r="J11" s="13">
        <v>1</v>
      </c>
      <c r="K11" s="10">
        <v>0</v>
      </c>
      <c r="L11" s="13">
        <v>0</v>
      </c>
      <c r="M11" s="13">
        <v>0</v>
      </c>
      <c r="N11" s="10">
        <v>166</v>
      </c>
      <c r="O11" s="13">
        <v>0.8674699</v>
      </c>
      <c r="P11" s="13">
        <v>0.9277108</v>
      </c>
    </row>
    <row r="12" spans="1:16">
      <c r="A12" s="10" t="s">
        <v>24</v>
      </c>
      <c r="B12" s="11">
        <v>2</v>
      </c>
      <c r="C12" s="12">
        <v>0.5</v>
      </c>
      <c r="D12" s="12">
        <v>1</v>
      </c>
      <c r="E12" s="11">
        <v>344</v>
      </c>
      <c r="F12" s="12">
        <v>0.7877907</v>
      </c>
      <c r="G12" s="12">
        <v>0.9418605</v>
      </c>
      <c r="H12" s="11">
        <v>5</v>
      </c>
      <c r="I12" s="12">
        <v>0.8</v>
      </c>
      <c r="J12" s="12">
        <v>1</v>
      </c>
      <c r="K12" s="11">
        <v>0</v>
      </c>
      <c r="L12" s="12">
        <v>0</v>
      </c>
      <c r="M12" s="12">
        <v>0</v>
      </c>
      <c r="N12" s="11">
        <v>689</v>
      </c>
      <c r="O12" s="12">
        <v>0.7169811</v>
      </c>
      <c r="P12" s="12">
        <v>0.9201742</v>
      </c>
    </row>
    <row r="13" spans="1:16">
      <c r="A13" s="10" t="s">
        <v>25</v>
      </c>
      <c r="B13" s="10">
        <v>0</v>
      </c>
      <c r="C13" s="13">
        <v>0</v>
      </c>
      <c r="D13" s="13">
        <v>0</v>
      </c>
      <c r="E13" s="10">
        <v>42</v>
      </c>
      <c r="F13" s="13">
        <v>0.8809524</v>
      </c>
      <c r="G13" s="13">
        <v>0.952381</v>
      </c>
      <c r="H13" s="10">
        <v>0</v>
      </c>
      <c r="I13" s="13">
        <v>0</v>
      </c>
      <c r="J13" s="13">
        <v>0</v>
      </c>
      <c r="K13" s="10">
        <v>0</v>
      </c>
      <c r="L13" s="13">
        <v>0</v>
      </c>
      <c r="M13" s="13">
        <v>0</v>
      </c>
      <c r="N13" s="10">
        <v>311</v>
      </c>
      <c r="O13" s="13">
        <v>0.9646302</v>
      </c>
      <c r="P13" s="13">
        <v>0.9678457</v>
      </c>
    </row>
    <row r="14" spans="1:16">
      <c r="A14" s="10" t="s">
        <v>26</v>
      </c>
      <c r="B14" s="11">
        <v>2</v>
      </c>
      <c r="C14" s="12">
        <v>0.5</v>
      </c>
      <c r="D14" s="12">
        <v>1</v>
      </c>
      <c r="E14" s="11">
        <v>266</v>
      </c>
      <c r="F14" s="12">
        <v>0.8345865</v>
      </c>
      <c r="G14" s="12">
        <v>0.9548872</v>
      </c>
      <c r="H14" s="11">
        <v>0</v>
      </c>
      <c r="I14" s="12">
        <v>0</v>
      </c>
      <c r="J14" s="12">
        <v>0</v>
      </c>
      <c r="K14" s="11">
        <v>1</v>
      </c>
      <c r="L14" s="12">
        <v>1</v>
      </c>
      <c r="M14" s="12">
        <v>1</v>
      </c>
      <c r="N14" s="11">
        <v>1093</v>
      </c>
      <c r="O14" s="12">
        <v>0.8078683</v>
      </c>
      <c r="P14" s="12">
        <v>0.9432754</v>
      </c>
    </row>
    <row r="15" spans="1:16">
      <c r="A15" s="10" t="s">
        <v>27</v>
      </c>
      <c r="B15" s="10">
        <v>0</v>
      </c>
      <c r="C15" s="13">
        <v>0</v>
      </c>
      <c r="D15" s="13">
        <v>0</v>
      </c>
      <c r="E15" s="10">
        <v>60</v>
      </c>
      <c r="F15" s="13">
        <v>0.8833333</v>
      </c>
      <c r="G15" s="13">
        <v>0.95</v>
      </c>
      <c r="H15" s="10">
        <v>0</v>
      </c>
      <c r="I15" s="13">
        <v>0</v>
      </c>
      <c r="J15" s="13">
        <v>0</v>
      </c>
      <c r="K15" s="10">
        <v>0</v>
      </c>
      <c r="L15" s="13">
        <v>0</v>
      </c>
      <c r="M15" s="13">
        <v>0</v>
      </c>
      <c r="N15" s="10">
        <v>176</v>
      </c>
      <c r="O15" s="13">
        <v>0.9147727</v>
      </c>
      <c r="P15" s="13">
        <v>0.9602273</v>
      </c>
    </row>
    <row r="16" spans="1:16">
      <c r="A16" s="10" t="s">
        <v>28</v>
      </c>
      <c r="B16" s="11">
        <v>0</v>
      </c>
      <c r="C16" s="12">
        <v>0</v>
      </c>
      <c r="D16" s="12">
        <v>0</v>
      </c>
      <c r="E16" s="11">
        <v>264</v>
      </c>
      <c r="F16" s="12">
        <v>0.8219697</v>
      </c>
      <c r="G16" s="12">
        <v>0.9204545</v>
      </c>
      <c r="H16" s="11">
        <v>1</v>
      </c>
      <c r="I16" s="12">
        <v>1</v>
      </c>
      <c r="J16" s="12">
        <v>1</v>
      </c>
      <c r="K16" s="11">
        <v>0</v>
      </c>
      <c r="L16" s="12">
        <v>0</v>
      </c>
      <c r="M16" s="12">
        <v>0</v>
      </c>
      <c r="N16" s="11">
        <v>1094</v>
      </c>
      <c r="O16" s="12">
        <v>0.7943327</v>
      </c>
      <c r="P16" s="12">
        <v>0.9232176</v>
      </c>
    </row>
    <row r="17" spans="1:16">
      <c r="A17" s="10" t="s">
        <v>29</v>
      </c>
      <c r="B17" s="10">
        <v>0</v>
      </c>
      <c r="C17" s="13">
        <v>0</v>
      </c>
      <c r="D17" s="13">
        <v>0</v>
      </c>
      <c r="E17" s="10">
        <v>42</v>
      </c>
      <c r="F17" s="13">
        <v>0.9047619</v>
      </c>
      <c r="G17" s="13">
        <v>0.952381</v>
      </c>
      <c r="H17" s="10">
        <v>0</v>
      </c>
      <c r="I17" s="13">
        <v>0</v>
      </c>
      <c r="J17" s="13">
        <v>0</v>
      </c>
      <c r="K17" s="10">
        <v>0</v>
      </c>
      <c r="L17" s="13">
        <v>0</v>
      </c>
      <c r="M17" s="13">
        <v>0</v>
      </c>
      <c r="N17" s="10">
        <v>332</v>
      </c>
      <c r="O17" s="13">
        <v>0.9307229</v>
      </c>
      <c r="P17" s="13">
        <v>0.9759036</v>
      </c>
    </row>
    <row r="18" spans="1:16">
      <c r="A18" s="14" t="s">
        <v>86</v>
      </c>
      <c r="B18" s="15" t="str">
        <f>SUM(B6:B17)</f>
        <v>0</v>
      </c>
      <c r="C18" s="16" t="str">
        <f>IF(B18=0, 0, ((B6*C6)+(B7*C7)+(B8*C8)+(B9*C9)+(B10*C10)+(B11*C11)+(B12*C12)+(B13*C13)+(B14*C14)+(B15*C15)+(B16*C16)+(B17*C17))/B18)</f>
        <v>0</v>
      </c>
      <c r="D18" s="16" t="str">
        <f>IF(B18=0, 0,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0, ((E6*F6)+(E7*F7)+(E8*F8)+(E9*F9)+(E10*F10)+(E11*F11)+(E12*F12)+(E13*F13)+(E14*F14)+(E15*F15)+(E16*F16)+(E17*F17))/E18)</f>
        <v>0</v>
      </c>
      <c r="G18" s="16" t="str">
        <f>IF(E18=0, 0,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0, ((H6*I6)+(H7*I7)+(H8*I8)+(H9*I9)+(H10*I10)+(H11*I11)+(H12*I12)+(H13*I13)+(H14*I14)+(H15*I15)+(H16*I16)+(H17*I17))/H18)</f>
        <v>0</v>
      </c>
      <c r="J18" s="16" t="str">
        <f>IF(H18=0, 0, ((H6*J6)+(H7*J7)+(H8*J8)+(H9*J9)+(H10*J10)+(H11*J11)+(H12*J12)+(H13*J13)+(H14*J14)+(H15*J15)+(H16*J16)+(H17*J17))/H18)</f>
        <v>0</v>
      </c>
      <c r="K18" s="15" t="str">
        <f>SUM(K6:K17)</f>
        <v>0</v>
      </c>
      <c r="L18" s="16" t="str">
        <f>IF(K18=0, 0, ((K6*L6)+(K7*L7)+(K8*L8)+(K9*L9)+(K10*L10)+(K11*L11)+(K12*L12)+(K13*L13)+(K14*L14)+(K15*L15)+(K16*L16)+(K17*L17))/K18)</f>
        <v>0</v>
      </c>
      <c r="M18" s="16" t="str">
        <f>IF(K18=0, 0, ((K6*M6)+(K7*M7)+(K8*M8)+(K9*M9)+(K10*M10)+(K11*M11)+(K12*M12)+(K13*M13)+(K14*M14)+(K15*M15)+(K16*M16)+(K17*M17))/K18)</f>
        <v>0</v>
      </c>
      <c r="N18" s="15" t="str">
        <f>SUM(N6:N17)</f>
        <v>0</v>
      </c>
      <c r="O18" s="16" t="str">
        <f>IF(N18=0, 0, ((N6*O6)+(N7*O7)+(N8*O8)+(N9*O9)+(N10*O10)+(N11*O11)+(N12*O12)+(N13*O13)+(N14*O14)+(N15*O15)+(N16*O16)+(N17*O17))/N18)</f>
        <v>0</v>
      </c>
      <c r="P18" s="16" t="str">
        <f>IF(N18=0, 0, ((N6*P6)+(N7*P7)+(N8*P8)+(N9*P9)+(N10*P10)+(N11*P11)+(N12*P12)+(N13*P13)+(N14*P14)+(N15*P15)+(N16*P16)+(N17*P17))/N18)</f>
        <v>0</v>
      </c>
    </row>
    <row r="20" spans="1:16">
      <c r="B20" s="9" t="s">
        <v>78</v>
      </c>
      <c r="C20" s="9"/>
      <c r="D20" s="9"/>
      <c r="E20" s="9" t="s">
        <v>79</v>
      </c>
      <c r="F20" s="9"/>
      <c r="G20" s="9"/>
      <c r="H20" s="9" t="s">
        <v>80</v>
      </c>
      <c r="I20" s="9"/>
      <c r="J20" s="9"/>
      <c r="K20" s="9" t="s">
        <v>81</v>
      </c>
      <c r="L20" s="9"/>
      <c r="M20" s="9"/>
      <c r="N20" s="9" t="s">
        <v>82</v>
      </c>
      <c r="O20" s="9"/>
      <c r="P20" s="9"/>
    </row>
    <row r="21" spans="1:16">
      <c r="A21" s="9" t="s">
        <v>31</v>
      </c>
      <c r="B21" s="9" t="s">
        <v>83</v>
      </c>
      <c r="C21" s="9" t="s">
        <v>84</v>
      </c>
      <c r="D21" s="9" t="s">
        <v>85</v>
      </c>
      <c r="E21" s="9" t="s">
        <v>83</v>
      </c>
      <c r="F21" s="9" t="s">
        <v>84</v>
      </c>
      <c r="G21" s="9" t="s">
        <v>85</v>
      </c>
      <c r="H21" s="9" t="s">
        <v>83</v>
      </c>
      <c r="I21" s="9" t="s">
        <v>84</v>
      </c>
      <c r="J21" s="9" t="s">
        <v>85</v>
      </c>
      <c r="K21" s="9" t="s">
        <v>83</v>
      </c>
      <c r="L21" s="9" t="s">
        <v>84</v>
      </c>
      <c r="M21" s="9" t="s">
        <v>85</v>
      </c>
      <c r="N21" s="9" t="s">
        <v>83</v>
      </c>
      <c r="O21" s="9" t="s">
        <v>84</v>
      </c>
      <c r="P21" s="9" t="s">
        <v>85</v>
      </c>
    </row>
    <row r="22" spans="1:16">
      <c r="A22" s="10" t="s">
        <v>57</v>
      </c>
      <c r="B22" s="11">
        <v>3</v>
      </c>
      <c r="C22" s="12">
        <v>1</v>
      </c>
      <c r="D22" s="12">
        <v>1</v>
      </c>
      <c r="E22" s="11">
        <v>1458</v>
      </c>
      <c r="F22" s="12">
        <v>0.7969822</v>
      </c>
      <c r="G22" s="12">
        <v>0.9156379</v>
      </c>
      <c r="H22" s="11">
        <v>12</v>
      </c>
      <c r="I22" s="12">
        <v>0.75</v>
      </c>
      <c r="J22" s="12">
        <v>0.8333333</v>
      </c>
      <c r="K22" s="11">
        <v>0</v>
      </c>
      <c r="L22" s="12">
        <v>0</v>
      </c>
      <c r="M22" s="12">
        <v>0</v>
      </c>
      <c r="N22" s="11">
        <v>1302</v>
      </c>
      <c r="O22" s="12">
        <v>0.7081413</v>
      </c>
      <c r="P22" s="12">
        <v>0.890937</v>
      </c>
    </row>
    <row r="23" spans="1:16">
      <c r="A23" s="10" t="s">
        <v>58</v>
      </c>
      <c r="B23" s="10">
        <v>4</v>
      </c>
      <c r="C23" s="13">
        <v>0.5</v>
      </c>
      <c r="D23" s="13">
        <v>1</v>
      </c>
      <c r="E23" s="10">
        <v>915</v>
      </c>
      <c r="F23" s="13">
        <v>0.8284153</v>
      </c>
      <c r="G23" s="13">
        <v>0.9398907</v>
      </c>
      <c r="H23" s="10">
        <v>8</v>
      </c>
      <c r="I23" s="13">
        <v>0.875</v>
      </c>
      <c r="J23" s="13">
        <v>1</v>
      </c>
      <c r="K23" s="10">
        <v>0</v>
      </c>
      <c r="L23" s="13">
        <v>0</v>
      </c>
      <c r="M23" s="13">
        <v>0</v>
      </c>
      <c r="N23" s="10">
        <v>1894</v>
      </c>
      <c r="O23" s="13">
        <v>0.7661035</v>
      </c>
      <c r="P23" s="13">
        <v>0.9287223</v>
      </c>
    </row>
    <row r="24" spans="1:16">
      <c r="A24" s="10" t="s">
        <v>1</v>
      </c>
      <c r="B24" s="11">
        <v>2</v>
      </c>
      <c r="C24" s="12">
        <v>0.5</v>
      </c>
      <c r="D24" s="12">
        <v>1</v>
      </c>
      <c r="E24" s="11">
        <v>634</v>
      </c>
      <c r="F24" s="12">
        <v>0.840694</v>
      </c>
      <c r="G24" s="12">
        <v>0.9400631</v>
      </c>
      <c r="H24" s="11">
        <v>2</v>
      </c>
      <c r="I24" s="12">
        <v>1</v>
      </c>
      <c r="J24" s="12">
        <v>1</v>
      </c>
      <c r="K24" s="11">
        <v>0</v>
      </c>
      <c r="L24" s="12">
        <v>0</v>
      </c>
      <c r="M24" s="12">
        <v>0</v>
      </c>
      <c r="N24" s="11">
        <v>2693</v>
      </c>
      <c r="O24" s="12">
        <v>0.8239881</v>
      </c>
      <c r="P24" s="12">
        <v>0.9402154</v>
      </c>
    </row>
    <row r="25" spans="1:16">
      <c r="A25" s="14" t="s">
        <v>86</v>
      </c>
      <c r="B25" s="15" t="str">
        <f>SUM(B22:B24)</f>
        <v>0</v>
      </c>
      <c r="C25" s="16" t="str">
        <f>IF(B25=0, 0, ((B22*C22)+(B23*C23)+(B24*C24))/B25)</f>
        <v>0</v>
      </c>
      <c r="D25" s="16" t="str">
        <f>IF(B25=0, 0, ((B22*D22)+(B23*D23)+(B24*D24))/B25)</f>
        <v>0</v>
      </c>
      <c r="E25" s="15" t="str">
        <f>SUM(E22:E24)</f>
        <v>0</v>
      </c>
      <c r="F25" s="16" t="str">
        <f>IF(E25=0, 0, ((E22*F22)+(E23*F23)+(E24*F24))/E25)</f>
        <v>0</v>
      </c>
      <c r="G25" s="16" t="str">
        <f>IF(E25=0, 0, ((E22*G22)+(E23*G23)+(E24*G24))/E25)</f>
        <v>0</v>
      </c>
      <c r="H25" s="15" t="str">
        <f>SUM(H22:H24)</f>
        <v>0</v>
      </c>
      <c r="I25" s="16" t="str">
        <f>IF(H25=0, 0, ((H22*I22)+(H23*I23)+(H24*I24))/H25)</f>
        <v>0</v>
      </c>
      <c r="J25" s="16" t="str">
        <f>IF(H25=0, 0, ((H22*J22)+(H23*J23)+(H24*J24))/H25)</f>
        <v>0</v>
      </c>
      <c r="K25" s="15" t="str">
        <f>SUM(K22:K24)</f>
        <v>0</v>
      </c>
      <c r="L25" s="16" t="str">
        <f>IF(K25=0, 0, ((K22*L22)+(K23*L23)+(K24*L24))/K25)</f>
        <v>0</v>
      </c>
      <c r="M25" s="16" t="str">
        <f>IF(K25=0, 0, ((K22*M22)+(K23*M23)+(K24*M24))/K25)</f>
        <v>0</v>
      </c>
      <c r="N25" s="15" t="str">
        <f>SUM(N22:N24)</f>
        <v>0</v>
      </c>
      <c r="O25" s="16" t="str">
        <f>IF(N25=0, 0, ((N22*O22)+(N23*O23)+(N24*O24))/N25)</f>
        <v>0</v>
      </c>
      <c r="P25" s="16" t="str">
        <f>IF(N25=0, 0, ((N22*P22)+(N23*P23)+(N24*P24))/N25)</f>
        <v>0</v>
      </c>
    </row>
    <row r="28" spans="1:16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</row>
    <row r="30" spans="1:16">
      <c r="A30" s="17" t="s">
        <v>36</v>
      </c>
      <c r="B30" s="18"/>
      <c r="C30" t="s">
        <v>37</v>
      </c>
      <c r="D30"/>
      <c r="E30"/>
      <c r="F30"/>
      <c r="G30"/>
      <c r="H30"/>
      <c r="I30"/>
      <c r="J30"/>
      <c r="K30"/>
      <c r="L30"/>
      <c r="M30"/>
      <c r="N30"/>
      <c r="O30"/>
      <c r="P30"/>
    </row>
    <row r="31" spans="1:16">
      <c r="A31" s="17" t="s">
        <v>40</v>
      </c>
      <c r="B31" s="18"/>
      <c r="C31" t="s">
        <v>41</v>
      </c>
      <c r="D31"/>
      <c r="E31"/>
      <c r="F31"/>
      <c r="G31"/>
      <c r="H31"/>
      <c r="I31"/>
      <c r="J31"/>
      <c r="K31"/>
      <c r="L31"/>
      <c r="M31"/>
      <c r="N31"/>
      <c r="O31"/>
      <c r="P31"/>
    </row>
    <row r="32" spans="1:16">
      <c r="A32" s="17" t="s">
        <v>72</v>
      </c>
      <c r="B32" s="18"/>
      <c r="C32" t="s">
        <v>87</v>
      </c>
      <c r="D32"/>
      <c r="E32"/>
      <c r="F32"/>
      <c r="G32"/>
      <c r="H32"/>
      <c r="I32"/>
      <c r="J32"/>
      <c r="K32"/>
      <c r="L32"/>
      <c r="M32"/>
      <c r="N32"/>
      <c r="O32"/>
      <c r="P32"/>
    </row>
    <row r="33" spans="1:16">
      <c r="A33" s="17" t="s">
        <v>74</v>
      </c>
      <c r="B33" s="18"/>
      <c r="C33" t="s">
        <v>75</v>
      </c>
      <c r="D33"/>
      <c r="E33"/>
      <c r="F33"/>
      <c r="G33"/>
      <c r="H33"/>
      <c r="I33"/>
      <c r="J33"/>
      <c r="K33"/>
      <c r="L33"/>
      <c r="M33"/>
      <c r="N33"/>
      <c r="O33"/>
      <c r="P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1"/>
    <mergeCell ref="A2:P2"/>
    <mergeCell ref="B4:D4"/>
    <mergeCell ref="E4:G4"/>
    <mergeCell ref="H4:J4"/>
    <mergeCell ref="K4:M4"/>
    <mergeCell ref="N4:P4"/>
    <mergeCell ref="B20:D20"/>
    <mergeCell ref="E20:G20"/>
    <mergeCell ref="H20:J20"/>
    <mergeCell ref="K20:M20"/>
    <mergeCell ref="N20:P20"/>
    <mergeCell ref="A28:P28"/>
    <mergeCell ref="A30:B30"/>
    <mergeCell ref="C30:P30"/>
    <mergeCell ref="A31:B31"/>
    <mergeCell ref="C31:P31"/>
    <mergeCell ref="A32:B32"/>
    <mergeCell ref="C32:P32"/>
    <mergeCell ref="A33:B33"/>
    <mergeCell ref="C33:P33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PSY&amp;RPrinted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V33"/>
  <sheetViews>
    <sheetView tabSelected="0" workbookViewId="0" showGridLines="true" showRowColHeaders="1">
      <selection activeCell="A33" sqref="A33"/>
    </sheetView>
  </sheetViews>
  <sheetFormatPr defaultRowHeight="14.4" outlineLevelRow="0" outlineLevelCol="0"/>
  <cols>
    <col min="1" max="1" width="15" customWidth="true" style="0"/>
    <col min="2" max="2" width="5" customWidth="true" style="0"/>
    <col min="3" max="3" width="10" customWidth="true" style="0"/>
    <col min="4" max="4" width="10" customWidth="true" style="0"/>
    <col min="5" max="5" width="5" customWidth="true" style="0"/>
    <col min="6" max="6" width="10" customWidth="true" style="0"/>
    <col min="7" max="7" width="10" customWidth="true" style="0"/>
    <col min="8" max="8" width="5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  <col min="17" max="17" width="5" customWidth="true" style="0"/>
    <col min="18" max="18" width="10" customWidth="true" style="0"/>
    <col min="19" max="19" width="10" customWidth="true" style="0"/>
    <col min="20" max="20" width="5" customWidth="true" style="0"/>
    <col min="21" max="21" width="10" customWidth="true" style="0"/>
    <col min="22" max="22" width="10" customWidth="true" style="0"/>
  </cols>
  <sheetData>
    <row r="1" spans="1:22">
      <c r="A1" s="6" t="s">
        <v>88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>
      <c r="A2" s="7" t="s">
        <v>89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4" spans="1:22">
      <c r="B4" s="9" t="s">
        <v>90</v>
      </c>
      <c r="C4" s="9"/>
      <c r="D4" s="9"/>
      <c r="E4" s="9" t="s">
        <v>91</v>
      </c>
      <c r="F4" s="9"/>
      <c r="G4" s="9"/>
      <c r="H4" s="9" t="s">
        <v>92</v>
      </c>
      <c r="I4" s="9"/>
      <c r="J4" s="9"/>
      <c r="K4" s="9" t="s">
        <v>93</v>
      </c>
      <c r="L4" s="9"/>
      <c r="M4" s="9"/>
      <c r="N4" s="9" t="s">
        <v>94</v>
      </c>
      <c r="O4" s="9"/>
      <c r="P4" s="9"/>
      <c r="Q4" s="9" t="s">
        <v>95</v>
      </c>
      <c r="R4" s="9"/>
      <c r="S4" s="9"/>
      <c r="T4" s="9" t="s">
        <v>96</v>
      </c>
      <c r="U4" s="9"/>
      <c r="V4" s="9"/>
    </row>
    <row r="5" spans="1:22">
      <c r="A5" s="9" t="s">
        <v>13</v>
      </c>
      <c r="B5" s="9" t="s">
        <v>83</v>
      </c>
      <c r="C5" s="9" t="s">
        <v>84</v>
      </c>
      <c r="D5" s="9" t="s">
        <v>85</v>
      </c>
      <c r="E5" s="9" t="s">
        <v>83</v>
      </c>
      <c r="F5" s="9" t="s">
        <v>84</v>
      </c>
      <c r="G5" s="9" t="s">
        <v>85</v>
      </c>
      <c r="H5" s="9" t="s">
        <v>83</v>
      </c>
      <c r="I5" s="9" t="s">
        <v>84</v>
      </c>
      <c r="J5" s="9" t="s">
        <v>85</v>
      </c>
      <c r="K5" s="9" t="s">
        <v>83</v>
      </c>
      <c r="L5" s="9" t="s">
        <v>84</v>
      </c>
      <c r="M5" s="9" t="s">
        <v>85</v>
      </c>
      <c r="N5" s="9" t="s">
        <v>83</v>
      </c>
      <c r="O5" s="9" t="s">
        <v>84</v>
      </c>
      <c r="P5" s="9" t="s">
        <v>85</v>
      </c>
      <c r="Q5" s="9" t="s">
        <v>83</v>
      </c>
      <c r="R5" s="9" t="s">
        <v>84</v>
      </c>
      <c r="S5" s="9" t="s">
        <v>85</v>
      </c>
      <c r="T5" s="9" t="s">
        <v>83</v>
      </c>
      <c r="U5" s="9" t="s">
        <v>84</v>
      </c>
      <c r="V5" s="9" t="s">
        <v>85</v>
      </c>
    </row>
    <row r="6" spans="1:22">
      <c r="A6" s="10" t="s">
        <v>18</v>
      </c>
      <c r="B6" s="11">
        <v>495</v>
      </c>
      <c r="C6" s="12">
        <v>0.7535354</v>
      </c>
      <c r="D6" s="12">
        <v>0.9474747</v>
      </c>
      <c r="E6" s="11">
        <v>499</v>
      </c>
      <c r="F6" s="12">
        <v>0.7314629</v>
      </c>
      <c r="G6" s="12">
        <v>0.8957916</v>
      </c>
      <c r="H6" s="11">
        <v>133</v>
      </c>
      <c r="I6" s="12">
        <v>0.7067669</v>
      </c>
      <c r="J6" s="12">
        <v>0.8646617</v>
      </c>
      <c r="K6" s="11">
        <v>55</v>
      </c>
      <c r="L6" s="12">
        <v>0.8181818</v>
      </c>
      <c r="M6" s="12">
        <v>0.9090909</v>
      </c>
      <c r="N6" s="11">
        <v>37</v>
      </c>
      <c r="O6" s="12">
        <v>0.7837838</v>
      </c>
      <c r="P6" s="12">
        <v>0.8108108</v>
      </c>
      <c r="Q6" s="11">
        <v>31</v>
      </c>
      <c r="R6" s="12">
        <v>0.8064516</v>
      </c>
      <c r="S6" s="12">
        <v>0.9032258</v>
      </c>
      <c r="T6" s="11">
        <v>14</v>
      </c>
      <c r="U6" s="12">
        <v>1</v>
      </c>
      <c r="V6" s="12">
        <v>1</v>
      </c>
    </row>
    <row r="7" spans="1:22">
      <c r="A7" s="10" t="s">
        <v>19</v>
      </c>
      <c r="B7" s="10">
        <v>60</v>
      </c>
      <c r="C7" s="13">
        <v>0.9666667</v>
      </c>
      <c r="D7" s="13">
        <v>1</v>
      </c>
      <c r="E7" s="10">
        <v>110</v>
      </c>
      <c r="F7" s="13">
        <v>0.8727273</v>
      </c>
      <c r="G7" s="13">
        <v>0.9272727</v>
      </c>
      <c r="H7" s="10">
        <v>17</v>
      </c>
      <c r="I7" s="13">
        <v>0.8823529</v>
      </c>
      <c r="J7" s="13">
        <v>0.9411765</v>
      </c>
      <c r="K7" s="10">
        <v>13</v>
      </c>
      <c r="L7" s="13">
        <v>0.9230769</v>
      </c>
      <c r="M7" s="13">
        <v>1</v>
      </c>
      <c r="N7" s="10">
        <v>4</v>
      </c>
      <c r="O7" s="13">
        <v>1</v>
      </c>
      <c r="P7" s="13">
        <v>1</v>
      </c>
      <c r="Q7" s="10">
        <v>6</v>
      </c>
      <c r="R7" s="13">
        <v>0.8333333</v>
      </c>
      <c r="S7" s="13">
        <v>0.8333333</v>
      </c>
      <c r="T7" s="10">
        <v>5</v>
      </c>
      <c r="U7" s="13">
        <v>0.8</v>
      </c>
      <c r="V7" s="13">
        <v>0.8</v>
      </c>
    </row>
    <row r="8" spans="1:22">
      <c r="A8" s="10" t="s">
        <v>20</v>
      </c>
      <c r="B8" s="11">
        <v>337</v>
      </c>
      <c r="C8" s="12">
        <v>0.7032641</v>
      </c>
      <c r="D8" s="12">
        <v>0.8872404</v>
      </c>
      <c r="E8" s="11">
        <v>472</v>
      </c>
      <c r="F8" s="12">
        <v>0.6970339</v>
      </c>
      <c r="G8" s="12">
        <v>0.8707627</v>
      </c>
      <c r="H8" s="11">
        <v>115</v>
      </c>
      <c r="I8" s="12">
        <v>0.7130435</v>
      </c>
      <c r="J8" s="12">
        <v>0.8434783</v>
      </c>
      <c r="K8" s="11">
        <v>50</v>
      </c>
      <c r="L8" s="12">
        <v>0.7</v>
      </c>
      <c r="M8" s="12">
        <v>0.78</v>
      </c>
      <c r="N8" s="11">
        <v>22</v>
      </c>
      <c r="O8" s="12">
        <v>0.8181818</v>
      </c>
      <c r="P8" s="12">
        <v>0.9090909</v>
      </c>
      <c r="Q8" s="11">
        <v>33</v>
      </c>
      <c r="R8" s="12">
        <v>0.8181818</v>
      </c>
      <c r="S8" s="12">
        <v>0.9090909</v>
      </c>
      <c r="T8" s="11">
        <v>20</v>
      </c>
      <c r="U8" s="12">
        <v>0.75</v>
      </c>
      <c r="V8" s="12">
        <v>0.95</v>
      </c>
    </row>
    <row r="9" spans="1:22">
      <c r="A9" s="10" t="s">
        <v>21</v>
      </c>
      <c r="B9" s="10">
        <v>124</v>
      </c>
      <c r="C9" s="13">
        <v>0.9193548</v>
      </c>
      <c r="D9" s="13">
        <v>0.9677419</v>
      </c>
      <c r="E9" s="10">
        <v>76</v>
      </c>
      <c r="F9" s="13">
        <v>0.8026316</v>
      </c>
      <c r="G9" s="13">
        <v>0.9342105</v>
      </c>
      <c r="H9" s="10">
        <v>26</v>
      </c>
      <c r="I9" s="13">
        <v>0.8846154</v>
      </c>
      <c r="J9" s="13">
        <v>1</v>
      </c>
      <c r="K9" s="10">
        <v>11</v>
      </c>
      <c r="L9" s="13">
        <v>0.6363636</v>
      </c>
      <c r="M9" s="13">
        <v>0.8181818</v>
      </c>
      <c r="N9" s="10">
        <v>3</v>
      </c>
      <c r="O9" s="13">
        <v>1</v>
      </c>
      <c r="P9" s="13">
        <v>1</v>
      </c>
      <c r="Q9" s="10">
        <v>4</v>
      </c>
      <c r="R9" s="13">
        <v>1</v>
      </c>
      <c r="S9" s="13">
        <v>1</v>
      </c>
      <c r="T9" s="10">
        <v>3</v>
      </c>
      <c r="U9" s="13">
        <v>0.6666667</v>
      </c>
      <c r="V9" s="13">
        <v>1</v>
      </c>
    </row>
    <row r="10" spans="1:22">
      <c r="A10" s="10" t="s">
        <v>22</v>
      </c>
      <c r="B10" s="11">
        <v>462</v>
      </c>
      <c r="C10" s="12">
        <v>0.7662338</v>
      </c>
      <c r="D10" s="12">
        <v>0.9545455</v>
      </c>
      <c r="E10" s="11">
        <v>505</v>
      </c>
      <c r="F10" s="12">
        <v>0.7524752</v>
      </c>
      <c r="G10" s="12">
        <v>0.9108911</v>
      </c>
      <c r="H10" s="11">
        <v>104</v>
      </c>
      <c r="I10" s="12">
        <v>0.7115385</v>
      </c>
      <c r="J10" s="12">
        <v>0.8942308</v>
      </c>
      <c r="K10" s="11">
        <v>55</v>
      </c>
      <c r="L10" s="12">
        <v>0.6545455</v>
      </c>
      <c r="M10" s="12">
        <v>0.8545455</v>
      </c>
      <c r="N10" s="11">
        <v>26</v>
      </c>
      <c r="O10" s="12">
        <v>0.8076923</v>
      </c>
      <c r="P10" s="12">
        <v>0.8846154</v>
      </c>
      <c r="Q10" s="11">
        <v>22</v>
      </c>
      <c r="R10" s="12">
        <v>0.7727273</v>
      </c>
      <c r="S10" s="12">
        <v>0.9090909</v>
      </c>
      <c r="T10" s="11">
        <v>8</v>
      </c>
      <c r="U10" s="12">
        <v>0.875</v>
      </c>
      <c r="V10" s="12">
        <v>1</v>
      </c>
    </row>
    <row r="11" spans="1:22">
      <c r="A11" s="10" t="s">
        <v>23</v>
      </c>
      <c r="B11" s="10">
        <v>98</v>
      </c>
      <c r="C11" s="13">
        <v>0.8571429</v>
      </c>
      <c r="D11" s="13">
        <v>0.9183673</v>
      </c>
      <c r="E11" s="10">
        <v>101</v>
      </c>
      <c r="F11" s="13">
        <v>0.9405941</v>
      </c>
      <c r="G11" s="13">
        <v>0.980198</v>
      </c>
      <c r="H11" s="10">
        <v>23</v>
      </c>
      <c r="I11" s="13">
        <v>0.8695652</v>
      </c>
      <c r="J11" s="13">
        <v>0.8695652</v>
      </c>
      <c r="K11" s="10">
        <v>10</v>
      </c>
      <c r="L11" s="13">
        <v>1</v>
      </c>
      <c r="M11" s="13">
        <v>1</v>
      </c>
      <c r="N11" s="10">
        <v>6</v>
      </c>
      <c r="O11" s="13">
        <v>0.8333333</v>
      </c>
      <c r="P11" s="13">
        <v>1</v>
      </c>
      <c r="Q11" s="10">
        <v>5</v>
      </c>
      <c r="R11" s="13">
        <v>1</v>
      </c>
      <c r="S11" s="13">
        <v>1</v>
      </c>
      <c r="T11" s="10">
        <v>3</v>
      </c>
      <c r="U11" s="13">
        <v>1</v>
      </c>
      <c r="V11" s="13">
        <v>1</v>
      </c>
    </row>
    <row r="12" spans="1:22">
      <c r="A12" s="10" t="s">
        <v>24</v>
      </c>
      <c r="B12" s="11">
        <v>314</v>
      </c>
      <c r="C12" s="12">
        <v>0.7133758</v>
      </c>
      <c r="D12" s="12">
        <v>0.9458599</v>
      </c>
      <c r="E12" s="11">
        <v>469</v>
      </c>
      <c r="F12" s="12">
        <v>0.750533</v>
      </c>
      <c r="G12" s="12">
        <v>0.9339019</v>
      </c>
      <c r="H12" s="11">
        <v>115</v>
      </c>
      <c r="I12" s="12">
        <v>0.7130435</v>
      </c>
      <c r="J12" s="12">
        <v>0.8869565</v>
      </c>
      <c r="K12" s="11">
        <v>43</v>
      </c>
      <c r="L12" s="12">
        <v>0.7209302</v>
      </c>
      <c r="M12" s="12">
        <v>0.8139535</v>
      </c>
      <c r="N12" s="11">
        <v>49</v>
      </c>
      <c r="O12" s="12">
        <v>0.8571429</v>
      </c>
      <c r="P12" s="12">
        <v>0.9387755</v>
      </c>
      <c r="Q12" s="11">
        <v>36</v>
      </c>
      <c r="R12" s="12">
        <v>0.8055556</v>
      </c>
      <c r="S12" s="12">
        <v>0.9444444</v>
      </c>
      <c r="T12" s="11">
        <v>14</v>
      </c>
      <c r="U12" s="12">
        <v>0.7142857</v>
      </c>
      <c r="V12" s="12">
        <v>0.9285714</v>
      </c>
    </row>
    <row r="13" spans="1:22">
      <c r="A13" s="10" t="s">
        <v>25</v>
      </c>
      <c r="B13" s="10">
        <v>135</v>
      </c>
      <c r="C13" s="13">
        <v>0.9555556</v>
      </c>
      <c r="D13" s="13">
        <v>0.9555556</v>
      </c>
      <c r="E13" s="10">
        <v>66</v>
      </c>
      <c r="F13" s="13">
        <v>0.9545455</v>
      </c>
      <c r="G13" s="13">
        <v>0.9848485</v>
      </c>
      <c r="H13" s="10">
        <v>56</v>
      </c>
      <c r="I13" s="13">
        <v>0.9107143</v>
      </c>
      <c r="J13" s="13">
        <v>0.9464286</v>
      </c>
      <c r="K13" s="10">
        <v>30</v>
      </c>
      <c r="L13" s="13">
        <v>1</v>
      </c>
      <c r="M13" s="13">
        <v>1</v>
      </c>
      <c r="N13" s="10">
        <v>25</v>
      </c>
      <c r="O13" s="13">
        <v>0.96</v>
      </c>
      <c r="P13" s="13">
        <v>0.96</v>
      </c>
      <c r="Q13" s="10">
        <v>31</v>
      </c>
      <c r="R13" s="13">
        <v>1</v>
      </c>
      <c r="S13" s="13">
        <v>1</v>
      </c>
      <c r="T13" s="10">
        <v>10</v>
      </c>
      <c r="U13" s="13">
        <v>0.9</v>
      </c>
      <c r="V13" s="13">
        <v>0.9</v>
      </c>
    </row>
    <row r="14" spans="1:22">
      <c r="A14" s="10" t="s">
        <v>26</v>
      </c>
      <c r="B14" s="11">
        <v>531</v>
      </c>
      <c r="C14" s="12">
        <v>0.8079096</v>
      </c>
      <c r="D14" s="12">
        <v>0.9566855</v>
      </c>
      <c r="E14" s="11">
        <v>493</v>
      </c>
      <c r="F14" s="12">
        <v>0.7890467</v>
      </c>
      <c r="G14" s="12">
        <v>0.9492901</v>
      </c>
      <c r="H14" s="11">
        <v>124</v>
      </c>
      <c r="I14" s="12">
        <v>0.8064516</v>
      </c>
      <c r="J14" s="12">
        <v>0.9112903</v>
      </c>
      <c r="K14" s="11">
        <v>79</v>
      </c>
      <c r="L14" s="12">
        <v>0.9113924</v>
      </c>
      <c r="M14" s="12">
        <v>0.9746835</v>
      </c>
      <c r="N14" s="11">
        <v>57</v>
      </c>
      <c r="O14" s="12">
        <v>0.8245614</v>
      </c>
      <c r="P14" s="12">
        <v>0.8421053</v>
      </c>
      <c r="Q14" s="11">
        <v>45</v>
      </c>
      <c r="R14" s="12">
        <v>0.9555556</v>
      </c>
      <c r="S14" s="12">
        <v>0.9555556</v>
      </c>
      <c r="T14" s="11">
        <v>33</v>
      </c>
      <c r="U14" s="12">
        <v>0.8181818</v>
      </c>
      <c r="V14" s="12">
        <v>0.9393939</v>
      </c>
    </row>
    <row r="15" spans="1:22">
      <c r="A15" s="10" t="s">
        <v>27</v>
      </c>
      <c r="B15" s="10">
        <v>101</v>
      </c>
      <c r="C15" s="13">
        <v>0.9207921</v>
      </c>
      <c r="D15" s="13">
        <v>0.970297</v>
      </c>
      <c r="E15" s="10">
        <v>88</v>
      </c>
      <c r="F15" s="13">
        <v>0.8636364</v>
      </c>
      <c r="G15" s="13">
        <v>0.9318182</v>
      </c>
      <c r="H15" s="10">
        <v>24</v>
      </c>
      <c r="I15" s="13">
        <v>1</v>
      </c>
      <c r="J15" s="13">
        <v>1</v>
      </c>
      <c r="K15" s="10">
        <v>10</v>
      </c>
      <c r="L15" s="13">
        <v>0.8</v>
      </c>
      <c r="M15" s="13">
        <v>0.9</v>
      </c>
      <c r="N15" s="10">
        <v>5</v>
      </c>
      <c r="O15" s="13">
        <v>1</v>
      </c>
      <c r="P15" s="13">
        <v>1</v>
      </c>
      <c r="Q15" s="10">
        <v>7</v>
      </c>
      <c r="R15" s="13">
        <v>1</v>
      </c>
      <c r="S15" s="13">
        <v>1</v>
      </c>
      <c r="T15" s="10">
        <v>1</v>
      </c>
      <c r="U15" s="13">
        <v>1</v>
      </c>
      <c r="V15" s="13">
        <v>1</v>
      </c>
    </row>
    <row r="16" spans="1:22">
      <c r="A16" s="10" t="s">
        <v>28</v>
      </c>
      <c r="B16" s="11">
        <v>427</v>
      </c>
      <c r="C16" s="12">
        <v>0.7681499</v>
      </c>
      <c r="D16" s="12">
        <v>0.9320843</v>
      </c>
      <c r="E16" s="11">
        <v>535</v>
      </c>
      <c r="F16" s="12">
        <v>0.7850467</v>
      </c>
      <c r="G16" s="12">
        <v>0.9102804</v>
      </c>
      <c r="H16" s="11">
        <v>148</v>
      </c>
      <c r="I16" s="12">
        <v>0.8243243</v>
      </c>
      <c r="J16" s="12">
        <v>0.9121622</v>
      </c>
      <c r="K16" s="11">
        <v>82</v>
      </c>
      <c r="L16" s="12">
        <v>0.8658537</v>
      </c>
      <c r="M16" s="12">
        <v>0.9146341</v>
      </c>
      <c r="N16" s="11">
        <v>62</v>
      </c>
      <c r="O16" s="12">
        <v>0.9354839</v>
      </c>
      <c r="P16" s="12">
        <v>0.983871</v>
      </c>
      <c r="Q16" s="11">
        <v>77</v>
      </c>
      <c r="R16" s="12">
        <v>0.8701299</v>
      </c>
      <c r="S16" s="12">
        <v>0.9480519</v>
      </c>
      <c r="T16" s="11">
        <v>28</v>
      </c>
      <c r="U16" s="12">
        <v>0.75</v>
      </c>
      <c r="V16" s="12">
        <v>0.8928571</v>
      </c>
    </row>
    <row r="17" spans="1:22">
      <c r="A17" s="10" t="s">
        <v>29</v>
      </c>
      <c r="B17" s="10">
        <v>176</v>
      </c>
      <c r="C17" s="13">
        <v>0.9715909</v>
      </c>
      <c r="D17" s="13">
        <v>0.9943182</v>
      </c>
      <c r="E17" s="10">
        <v>95</v>
      </c>
      <c r="F17" s="13">
        <v>0.9052632</v>
      </c>
      <c r="G17" s="13">
        <v>0.9684211</v>
      </c>
      <c r="H17" s="10">
        <v>34</v>
      </c>
      <c r="I17" s="13">
        <v>0.9411765</v>
      </c>
      <c r="J17" s="13">
        <v>1</v>
      </c>
      <c r="K17" s="10">
        <v>20</v>
      </c>
      <c r="L17" s="13">
        <v>0.85</v>
      </c>
      <c r="M17" s="13">
        <v>0.95</v>
      </c>
      <c r="N17" s="10">
        <v>18</v>
      </c>
      <c r="O17" s="13">
        <v>0.8888889</v>
      </c>
      <c r="P17" s="13">
        <v>0.9444444</v>
      </c>
      <c r="Q17" s="10">
        <v>27</v>
      </c>
      <c r="R17" s="13">
        <v>0.8148148</v>
      </c>
      <c r="S17" s="13">
        <v>0.8518519</v>
      </c>
      <c r="T17" s="10">
        <v>4</v>
      </c>
      <c r="U17" s="13">
        <v>0.75</v>
      </c>
      <c r="V17" s="13">
        <v>1</v>
      </c>
    </row>
    <row r="18" spans="1:22">
      <c r="A18" s="14" t="s">
        <v>86</v>
      </c>
      <c r="B18" s="15" t="str">
        <f>SUM(B6:B17)</f>
        <v>0</v>
      </c>
      <c r="C18" s="16" t="str">
        <f>IF(B18=0, "", ((B6*C6)+(B7*C7)+(B8*C8)+(B9*C9)+(B10*C10)+(B11*C11)+(B12*C12)+(B13*C13)+(B14*C14)+(B15*C15)+(B16*C16)+(B17*C17))/B18)</f>
        <v>0</v>
      </c>
      <c r="D18" s="16" t="str">
        <f>IF(B18=0, "",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"", ((E6*F6)+(E7*F7)+(E8*F8)+(E9*F9)+(E10*F10)+(E11*F11)+(E12*F12)+(E13*F13)+(E14*F14)+(E15*F15)+(E16*F16)+(E17*F17))/E18)</f>
        <v>0</v>
      </c>
      <c r="G18" s="16" t="str">
        <f>IF(E18=0, "",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"", ((H6*I6)+(H7*I7)+(H8*I8)+(H9*I9)+(H10*I10)+(H11*I11)+(H12*I12)+(H13*I13)+(H14*I14)+(H15*I15)+(H16*I16)+(H17*I17))/H18)</f>
        <v>0</v>
      </c>
      <c r="J18" s="16" t="str">
        <f>IF(H18=0, "", ((H6*J6)+(H7*J7)+(H8*J8)+(H9*J9)+(H10*J10)+(H11*J11)+(H12*J12)+(H13*J13)+(H14*J14)+(H15*J15)+(H16*J16)+(H17*J17))/H18)</f>
        <v>0</v>
      </c>
      <c r="K18" s="15" t="str">
        <f>SUM(K6:K17)</f>
        <v>0</v>
      </c>
      <c r="L18" s="16" t="str">
        <f>IF(K18=0, "", ((K6*L6)+(K7*L7)+(K8*L8)+(K9*L9)+(K10*L10)+(K11*L11)+(K12*L12)+(K13*L13)+(K14*L14)+(K15*L15)+(K16*L16)+(K17*L17))/K18)</f>
        <v>0</v>
      </c>
      <c r="M18" s="16" t="str">
        <f>IF(K18=0, "", ((K6*M6)+(K7*M7)+(K8*M8)+(K9*M9)+(K10*M10)+(K11*M11)+(K12*M12)+(K13*M13)+(K14*M14)+(K15*M15)+(K16*M16)+(K17*M17))/K18)</f>
        <v>0</v>
      </c>
      <c r="N18" s="15" t="str">
        <f>SUM(N6:N17)</f>
        <v>0</v>
      </c>
      <c r="O18" s="16" t="str">
        <f>IF(N18=0, "", ((N6*O6)+(N7*O7)+(N8*O8)+(N9*O9)+(N10*O10)+(N11*O11)+(N12*O12)+(N13*O13)+(N14*O14)+(N15*O15)+(N16*O16)+(N17*O17))/N18)</f>
        <v>0</v>
      </c>
      <c r="P18" s="16" t="str">
        <f>IF(N18=0, "", ((N6*P6)+(N7*P7)+(N8*P8)+(N9*P9)+(N10*P10)+(N11*P11)+(N12*P12)+(N13*P13)+(N14*P14)+(N15*P15)+(N16*P16)+(N17*P17))/N18)</f>
        <v>0</v>
      </c>
      <c r="Q18" s="15" t="str">
        <f>SUM(Q6:Q17)</f>
        <v>0</v>
      </c>
      <c r="R18" s="16" t="str">
        <f>IF(Q18=0, "", ((Q6*R6)+(Q7*R7)+(Q8*R8)+(Q9*R9)+(Q10*R10)+(Q11*R11)+(Q12*R12)+(Q13*R13)+(Q14*R14)+(Q15*R15)+(Q16*R16)+(Q17*R17))/Q18)</f>
        <v>0</v>
      </c>
      <c r="S18" s="16" t="str">
        <f>IF(Q18=0, "", ((Q6*S6)+(Q7*S7)+(Q8*S8)+(Q9*S9)+(Q10*S10)+(Q11*S11)+(Q12*S12)+(Q13*S13)+(Q14*S14)+(Q15*S15)+(Q16*S16)+(Q17*S17))/Q18)</f>
        <v>0</v>
      </c>
      <c r="T18" s="15" t="str">
        <f>SUM(T6:T17)</f>
        <v>0</v>
      </c>
      <c r="U18" s="16" t="str">
        <f>IF(T18=0, "", ((T6*U6)+(T7*U7)+(T8*U8)+(T9*U9)+(T10*U10)+(T11*U11)+(T12*U12)+(T13*U13)+(T14*U14)+(T15*U15)+(T16*U16)+(T17*U17))/T18)</f>
        <v>0</v>
      </c>
      <c r="V18" s="16" t="str">
        <f>IF(T18=0, "", ((T6*V6)+(T7*V7)+(T8*V8)+(T9*V9)+(T10*V10)+(T11*V11)+(T12*V12)+(T13*V13)+(T14*V14)+(T15*V15)+(T16*V16)+(T17*V17))/T18)</f>
        <v>0</v>
      </c>
    </row>
    <row r="20" spans="1:22">
      <c r="B20" s="9" t="s">
        <v>90</v>
      </c>
      <c r="C20" s="9"/>
      <c r="D20" s="9"/>
      <c r="E20" s="9" t="s">
        <v>91</v>
      </c>
      <c r="F20" s="9"/>
      <c r="G20" s="9"/>
      <c r="H20" s="9" t="s">
        <v>92</v>
      </c>
      <c r="I20" s="9"/>
      <c r="J20" s="9"/>
      <c r="K20" s="9" t="s">
        <v>93</v>
      </c>
      <c r="L20" s="9"/>
      <c r="M20" s="9"/>
      <c r="N20" s="9" t="s">
        <v>94</v>
      </c>
      <c r="O20" s="9"/>
      <c r="P20" s="9"/>
      <c r="Q20" s="9" t="s">
        <v>95</v>
      </c>
      <c r="R20" s="9"/>
      <c r="S20" s="9"/>
      <c r="T20" s="9" t="s">
        <v>96</v>
      </c>
      <c r="U20" s="9"/>
      <c r="V20" s="9"/>
    </row>
    <row r="21" spans="1:22">
      <c r="A21" s="9" t="s">
        <v>31</v>
      </c>
      <c r="B21" s="9" t="s">
        <v>83</v>
      </c>
      <c r="C21" s="9" t="s">
        <v>84</v>
      </c>
      <c r="D21" s="9" t="s">
        <v>85</v>
      </c>
      <c r="E21" s="9" t="s">
        <v>83</v>
      </c>
      <c r="F21" s="9" t="s">
        <v>84</v>
      </c>
      <c r="G21" s="9" t="s">
        <v>85</v>
      </c>
      <c r="H21" s="9" t="s">
        <v>83</v>
      </c>
      <c r="I21" s="9" t="s">
        <v>84</v>
      </c>
      <c r="J21" s="9" t="s">
        <v>85</v>
      </c>
      <c r="K21" s="9" t="s">
        <v>83</v>
      </c>
      <c r="L21" s="9" t="s">
        <v>84</v>
      </c>
      <c r="M21" s="9" t="s">
        <v>85</v>
      </c>
      <c r="N21" s="9" t="s">
        <v>83</v>
      </c>
      <c r="O21" s="9" t="s">
        <v>84</v>
      </c>
      <c r="P21" s="9" t="s">
        <v>85</v>
      </c>
      <c r="Q21" s="9" t="s">
        <v>83</v>
      </c>
      <c r="R21" s="9" t="s">
        <v>84</v>
      </c>
      <c r="S21" s="9" t="s">
        <v>85</v>
      </c>
      <c r="T21" s="9" t="s">
        <v>83</v>
      </c>
      <c r="U21" s="9" t="s">
        <v>84</v>
      </c>
      <c r="V21" s="9" t="s">
        <v>85</v>
      </c>
    </row>
    <row r="22" spans="1:22">
      <c r="A22" s="10" t="s">
        <v>57</v>
      </c>
      <c r="B22" s="11">
        <v>1016</v>
      </c>
      <c r="C22" s="12">
        <v>0.769685</v>
      </c>
      <c r="D22" s="12">
        <v>0.9330709</v>
      </c>
      <c r="E22" s="11">
        <v>1157</v>
      </c>
      <c r="F22" s="12">
        <v>0.7355229</v>
      </c>
      <c r="G22" s="12">
        <v>0.8910977</v>
      </c>
      <c r="H22" s="11">
        <v>291</v>
      </c>
      <c r="I22" s="12">
        <v>0.7353952</v>
      </c>
      <c r="J22" s="12">
        <v>0.8728522</v>
      </c>
      <c r="K22" s="11">
        <v>129</v>
      </c>
      <c r="L22" s="12">
        <v>0.7674419</v>
      </c>
      <c r="M22" s="12">
        <v>0.8604651</v>
      </c>
      <c r="N22" s="11">
        <v>66</v>
      </c>
      <c r="O22" s="12">
        <v>0.8181818</v>
      </c>
      <c r="P22" s="12">
        <v>0.8636364</v>
      </c>
      <c r="Q22" s="11">
        <v>74</v>
      </c>
      <c r="R22" s="12">
        <v>0.8243243</v>
      </c>
      <c r="S22" s="12">
        <v>0.9054054</v>
      </c>
      <c r="T22" s="11">
        <v>42</v>
      </c>
      <c r="U22" s="12">
        <v>0.8333333</v>
      </c>
      <c r="V22" s="12">
        <v>0.952381</v>
      </c>
    </row>
    <row r="23" spans="1:22">
      <c r="A23" s="10" t="s">
        <v>58</v>
      </c>
      <c r="B23" s="10">
        <v>1009</v>
      </c>
      <c r="C23" s="13">
        <v>0.7839445</v>
      </c>
      <c r="D23" s="13">
        <v>0.9484638</v>
      </c>
      <c r="E23" s="10">
        <v>1141</v>
      </c>
      <c r="F23" s="13">
        <v>0.7800175</v>
      </c>
      <c r="G23" s="13">
        <v>0.9307625</v>
      </c>
      <c r="H23" s="10">
        <v>298</v>
      </c>
      <c r="I23" s="13">
        <v>0.761745</v>
      </c>
      <c r="J23" s="13">
        <v>0.8993289</v>
      </c>
      <c r="K23" s="10">
        <v>138</v>
      </c>
      <c r="L23" s="13">
        <v>0.7753623</v>
      </c>
      <c r="M23" s="13">
        <v>0.884058</v>
      </c>
      <c r="N23" s="10">
        <v>106</v>
      </c>
      <c r="O23" s="13">
        <v>0.8679245</v>
      </c>
      <c r="P23" s="13">
        <v>0.9339623</v>
      </c>
      <c r="Q23" s="10">
        <v>94</v>
      </c>
      <c r="R23" s="13">
        <v>0.8723404</v>
      </c>
      <c r="S23" s="13">
        <v>0.9574468</v>
      </c>
      <c r="T23" s="10">
        <v>35</v>
      </c>
      <c r="U23" s="13">
        <v>0.8285714</v>
      </c>
      <c r="V23" s="13">
        <v>0.9428571</v>
      </c>
    </row>
    <row r="24" spans="1:22">
      <c r="A24" s="10" t="s">
        <v>1</v>
      </c>
      <c r="B24" s="11">
        <v>1235</v>
      </c>
      <c r="C24" s="12">
        <v>0.8267206</v>
      </c>
      <c r="D24" s="12">
        <v>0.9546559</v>
      </c>
      <c r="E24" s="11">
        <v>1211</v>
      </c>
      <c r="F24" s="12">
        <v>0.8018167</v>
      </c>
      <c r="G24" s="12">
        <v>0.9322874</v>
      </c>
      <c r="H24" s="11">
        <v>330</v>
      </c>
      <c r="I24" s="12">
        <v>0.8424242</v>
      </c>
      <c r="J24" s="12">
        <v>0.9272727</v>
      </c>
      <c r="K24" s="11">
        <v>191</v>
      </c>
      <c r="L24" s="12">
        <v>0.8795812</v>
      </c>
      <c r="M24" s="12">
        <v>0.9424084</v>
      </c>
      <c r="N24" s="11">
        <v>142</v>
      </c>
      <c r="O24" s="12">
        <v>0.8873239</v>
      </c>
      <c r="P24" s="12">
        <v>0.9225352</v>
      </c>
      <c r="Q24" s="11">
        <v>156</v>
      </c>
      <c r="R24" s="12">
        <v>0.8910256</v>
      </c>
      <c r="S24" s="12">
        <v>0.9358974</v>
      </c>
      <c r="T24" s="11">
        <v>66</v>
      </c>
      <c r="U24" s="12">
        <v>0.7878788</v>
      </c>
      <c r="V24" s="12">
        <v>0.9242424</v>
      </c>
    </row>
    <row r="25" spans="1:22">
      <c r="A25" s="14" t="s">
        <v>86</v>
      </c>
      <c r="B25" s="15" t="str">
        <f>SUM(B22:B24)</f>
        <v>0</v>
      </c>
      <c r="C25" s="16" t="str">
        <f>IF(B25=0, "", ((B22*C22)+(B23*C23)+(B24*C24))/B25)</f>
        <v>0</v>
      </c>
      <c r="D25" s="16" t="str">
        <f>IF(B25=0, "", ((B22*D22)+(B23*D23)+(B24*D24))/B25)</f>
        <v>0</v>
      </c>
      <c r="E25" s="15" t="str">
        <f>SUM(E22:E24)</f>
        <v>0</v>
      </c>
      <c r="F25" s="16" t="str">
        <f>IF(E25=0, "", ((E22*F22)+(E23*F23)+(E24*F24))/E25)</f>
        <v>0</v>
      </c>
      <c r="G25" s="16" t="str">
        <f>IF(E25=0, "", ((E22*G22)+(E23*G23)+(E24*G24))/E25)</f>
        <v>0</v>
      </c>
      <c r="H25" s="15" t="str">
        <f>SUM(H22:H24)</f>
        <v>0</v>
      </c>
      <c r="I25" s="16" t="str">
        <f>IF(H25=0, "", ((H22*I22)+(H23*I23)+(H24*I24))/H25)</f>
        <v>0</v>
      </c>
      <c r="J25" s="16" t="str">
        <f>IF(H25=0, "", ((H22*J22)+(H23*J23)+(H24*J24))/H25)</f>
        <v>0</v>
      </c>
      <c r="K25" s="15" t="str">
        <f>SUM(K22:K24)</f>
        <v>0</v>
      </c>
      <c r="L25" s="16" t="str">
        <f>IF(K25=0, "", ((K22*L22)+(K23*L23)+(K24*L24))/K25)</f>
        <v>0</v>
      </c>
      <c r="M25" s="16" t="str">
        <f>IF(K25=0, "", ((K22*M22)+(K23*M23)+(K24*M24))/K25)</f>
        <v>0</v>
      </c>
      <c r="N25" s="15" t="str">
        <f>SUM(N22:N24)</f>
        <v>0</v>
      </c>
      <c r="O25" s="16" t="str">
        <f>IF(N25=0, "", ((N22*O22)+(N23*O23)+(N24*O24))/N25)</f>
        <v>0</v>
      </c>
      <c r="P25" s="16" t="str">
        <f>IF(N25=0, "", ((N22*P22)+(N23*P23)+(N24*P24))/N25)</f>
        <v>0</v>
      </c>
      <c r="Q25" s="15" t="str">
        <f>SUM(Q22:Q24)</f>
        <v>0</v>
      </c>
      <c r="R25" s="16" t="str">
        <f>IF(Q25=0, "", ((Q22*R22)+(Q23*R23)+(Q24*R24))/Q25)</f>
        <v>0</v>
      </c>
      <c r="S25" s="16" t="str">
        <f>IF(Q25=0, "", ((Q22*S22)+(Q23*S23)+(Q24*S24))/Q25)</f>
        <v>0</v>
      </c>
      <c r="T25" s="15" t="str">
        <f>SUM(T22:T24)</f>
        <v>0</v>
      </c>
      <c r="U25" s="16" t="str">
        <f>IF(T25=0, "", ((T22*U22)+(T23*U23)+(T24*U24))/T25)</f>
        <v>0</v>
      </c>
      <c r="V25" s="16" t="str">
        <f>IF(T25=0, "", ((T22*V22)+(T23*V23)+(T24*V24))/T25)</f>
        <v>0</v>
      </c>
    </row>
    <row r="28" spans="1:22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</row>
    <row r="30" spans="1:22">
      <c r="A30" s="17" t="s">
        <v>36</v>
      </c>
      <c r="B30" s="18"/>
      <c r="C30" t="s">
        <v>37</v>
      </c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</row>
    <row r="31" spans="1:22">
      <c r="A31" s="17" t="s">
        <v>40</v>
      </c>
      <c r="B31" s="18"/>
      <c r="C31" t="s">
        <v>41</v>
      </c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</row>
    <row r="32" spans="1:22">
      <c r="A32" s="17" t="s">
        <v>72</v>
      </c>
      <c r="B32" s="18"/>
      <c r="C32" t="s">
        <v>87</v>
      </c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</row>
    <row r="33" spans="1:22">
      <c r="A33" s="17" t="s">
        <v>74</v>
      </c>
      <c r="B33" s="18"/>
      <c r="C33" t="s">
        <v>75</v>
      </c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V1"/>
    <mergeCell ref="A2:V2"/>
    <mergeCell ref="B4:D4"/>
    <mergeCell ref="E4:G4"/>
    <mergeCell ref="H4:J4"/>
    <mergeCell ref="K4:M4"/>
    <mergeCell ref="N4:P4"/>
    <mergeCell ref="Q4:S4"/>
    <mergeCell ref="T4:V4"/>
    <mergeCell ref="B20:D20"/>
    <mergeCell ref="E20:G20"/>
    <mergeCell ref="H20:J20"/>
    <mergeCell ref="K20:M20"/>
    <mergeCell ref="N20:P20"/>
    <mergeCell ref="Q20:S20"/>
    <mergeCell ref="T20:V20"/>
    <mergeCell ref="A28:V28"/>
    <mergeCell ref="A30:B30"/>
    <mergeCell ref="C30:V30"/>
    <mergeCell ref="A31:B31"/>
    <mergeCell ref="C31:V31"/>
    <mergeCell ref="A32:B32"/>
    <mergeCell ref="C32:V32"/>
    <mergeCell ref="A33:B33"/>
    <mergeCell ref="C33:V33"/>
  </mergeCells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PSY&amp;RPrinted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J33"/>
  <sheetViews>
    <sheetView tabSelected="0" workbookViewId="0" showGridLines="true" showRowColHeaders="1">
      <selection activeCell="A33" sqref="A33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7" customWidth="true" style="0"/>
    <col min="4" max="4" width="17" customWidth="true" style="0"/>
    <col min="5" max="5" width="6" customWidth="true" style="0"/>
    <col min="6" max="6" width="17" customWidth="true" style="0"/>
    <col min="7" max="7" width="17" customWidth="true" style="0"/>
    <col min="8" max="8" width="6" customWidth="true" style="0"/>
    <col min="9" max="9" width="17" customWidth="true" style="0"/>
    <col min="10" max="10" width="17" customWidth="true" style="0"/>
  </cols>
  <sheetData>
    <row r="1" spans="1:10">
      <c r="A1" s="6" t="s">
        <v>97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98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99</v>
      </c>
      <c r="C4" s="9"/>
      <c r="D4" s="9"/>
      <c r="E4" s="9" t="s">
        <v>100</v>
      </c>
      <c r="F4" s="9"/>
      <c r="G4" s="9"/>
      <c r="H4" s="9" t="s">
        <v>101</v>
      </c>
      <c r="I4" s="9"/>
      <c r="J4" s="9"/>
    </row>
    <row r="5" spans="1:10">
      <c r="A5" s="9" t="s">
        <v>13</v>
      </c>
      <c r="B5" s="9" t="s">
        <v>83</v>
      </c>
      <c r="C5" s="9" t="s">
        <v>84</v>
      </c>
      <c r="D5" s="9" t="s">
        <v>85</v>
      </c>
      <c r="E5" s="9" t="s">
        <v>83</v>
      </c>
      <c r="F5" s="9" t="s">
        <v>84</v>
      </c>
      <c r="G5" s="9" t="s">
        <v>85</v>
      </c>
      <c r="H5" s="9" t="s">
        <v>83</v>
      </c>
      <c r="I5" s="9" t="s">
        <v>84</v>
      </c>
      <c r="J5" s="9" t="s">
        <v>85</v>
      </c>
    </row>
    <row r="6" spans="1:10">
      <c r="A6" s="10" t="s">
        <v>18</v>
      </c>
      <c r="B6" s="11">
        <v>858</v>
      </c>
      <c r="C6" s="12">
        <v>0.7913753</v>
      </c>
      <c r="D6" s="12">
        <v>0.9265734</v>
      </c>
      <c r="E6" s="11">
        <v>394</v>
      </c>
      <c r="F6" s="12">
        <v>0.6497462</v>
      </c>
      <c r="G6" s="12">
        <v>0.8781726</v>
      </c>
      <c r="H6" s="11">
        <v>12</v>
      </c>
      <c r="I6" s="12">
        <v>0.8333333</v>
      </c>
      <c r="J6" s="12">
        <v>1</v>
      </c>
    </row>
    <row r="7" spans="1:10">
      <c r="A7" s="10" t="s">
        <v>19</v>
      </c>
      <c r="B7" s="10">
        <v>134</v>
      </c>
      <c r="C7" s="13">
        <v>0.9253731</v>
      </c>
      <c r="D7" s="13">
        <v>0.9701493</v>
      </c>
      <c r="E7" s="10">
        <v>80</v>
      </c>
      <c r="F7" s="13">
        <v>0.8625</v>
      </c>
      <c r="G7" s="13">
        <v>0.9125</v>
      </c>
      <c r="H7" s="10">
        <v>1</v>
      </c>
      <c r="I7" s="13">
        <v>1</v>
      </c>
      <c r="J7" s="13">
        <v>1</v>
      </c>
    </row>
    <row r="8" spans="1:10">
      <c r="A8" s="10" t="s">
        <v>20</v>
      </c>
      <c r="B8" s="11">
        <v>709</v>
      </c>
      <c r="C8" s="12">
        <v>0.7306065</v>
      </c>
      <c r="D8" s="12">
        <v>0.887165</v>
      </c>
      <c r="E8" s="11">
        <v>330</v>
      </c>
      <c r="F8" s="12">
        <v>0.6606061</v>
      </c>
      <c r="G8" s="12">
        <v>0.8393939</v>
      </c>
      <c r="H8" s="11">
        <v>10</v>
      </c>
      <c r="I8" s="12">
        <v>0.7</v>
      </c>
      <c r="J8" s="12">
        <v>0.9</v>
      </c>
    </row>
    <row r="9" spans="1:10">
      <c r="A9" s="10" t="s">
        <v>21</v>
      </c>
      <c r="B9" s="10">
        <v>160</v>
      </c>
      <c r="C9" s="13">
        <v>0.89375</v>
      </c>
      <c r="D9" s="13">
        <v>0.95625</v>
      </c>
      <c r="E9" s="10">
        <v>87</v>
      </c>
      <c r="F9" s="13">
        <v>0.816092</v>
      </c>
      <c r="G9" s="13">
        <v>0.954023</v>
      </c>
      <c r="H9" s="10">
        <v>0</v>
      </c>
      <c r="I9" s="13">
        <v>0</v>
      </c>
      <c r="J9" s="13">
        <v>0</v>
      </c>
    </row>
    <row r="10" spans="1:10">
      <c r="A10" s="10" t="s">
        <v>22</v>
      </c>
      <c r="B10" s="11">
        <v>818</v>
      </c>
      <c r="C10" s="12">
        <v>0.7530562</v>
      </c>
      <c r="D10" s="12">
        <v>0.9229829</v>
      </c>
      <c r="E10" s="11">
        <v>355</v>
      </c>
      <c r="F10" s="12">
        <v>0.7521127</v>
      </c>
      <c r="G10" s="12">
        <v>0.9295775</v>
      </c>
      <c r="H10" s="11">
        <v>9</v>
      </c>
      <c r="I10" s="12">
        <v>0.6666667</v>
      </c>
      <c r="J10" s="12">
        <v>0.7777778</v>
      </c>
    </row>
    <row r="11" spans="1:10">
      <c r="A11" s="10" t="s">
        <v>23</v>
      </c>
      <c r="B11" s="10">
        <v>153</v>
      </c>
      <c r="C11" s="13">
        <v>0.9346405</v>
      </c>
      <c r="D11" s="13">
        <v>0.9607843</v>
      </c>
      <c r="E11" s="10">
        <v>88</v>
      </c>
      <c r="F11" s="13">
        <v>0.8636364</v>
      </c>
      <c r="G11" s="13">
        <v>0.9318182</v>
      </c>
      <c r="H11" s="10">
        <v>5</v>
      </c>
      <c r="I11" s="13">
        <v>0.6</v>
      </c>
      <c r="J11" s="13">
        <v>0.8</v>
      </c>
    </row>
    <row r="12" spans="1:10">
      <c r="A12" s="10" t="s">
        <v>24</v>
      </c>
      <c r="B12" s="11">
        <v>711</v>
      </c>
      <c r="C12" s="12">
        <v>0.7398031</v>
      </c>
      <c r="D12" s="12">
        <v>0.9296765</v>
      </c>
      <c r="E12" s="11">
        <v>321</v>
      </c>
      <c r="F12" s="12">
        <v>0.7383178</v>
      </c>
      <c r="G12" s="12">
        <v>0.9221184</v>
      </c>
      <c r="H12" s="11">
        <v>8</v>
      </c>
      <c r="I12" s="12">
        <v>0.875</v>
      </c>
      <c r="J12" s="12">
        <v>1</v>
      </c>
    </row>
    <row r="13" spans="1:10">
      <c r="A13" s="10" t="s">
        <v>25</v>
      </c>
      <c r="B13" s="10">
        <v>166</v>
      </c>
      <c r="C13" s="13">
        <v>0.9337349</v>
      </c>
      <c r="D13" s="13">
        <v>0.9578313</v>
      </c>
      <c r="E13" s="10">
        <v>179</v>
      </c>
      <c r="F13" s="13">
        <v>0.9776536</v>
      </c>
      <c r="G13" s="13">
        <v>0.9776536</v>
      </c>
      <c r="H13" s="10">
        <v>8</v>
      </c>
      <c r="I13" s="13">
        <v>0.875</v>
      </c>
      <c r="J13" s="13">
        <v>0.875</v>
      </c>
    </row>
    <row r="14" spans="1:10">
      <c r="A14" s="10" t="s">
        <v>26</v>
      </c>
      <c r="B14" s="11">
        <v>855</v>
      </c>
      <c r="C14" s="12">
        <v>0.8011696</v>
      </c>
      <c r="D14" s="12">
        <v>0.9345029</v>
      </c>
      <c r="E14" s="11">
        <v>495</v>
      </c>
      <c r="F14" s="12">
        <v>0.8323232</v>
      </c>
      <c r="G14" s="12">
        <v>0.9636364</v>
      </c>
      <c r="H14" s="11">
        <v>12</v>
      </c>
      <c r="I14" s="12">
        <v>0.8333333</v>
      </c>
      <c r="J14" s="12">
        <v>1</v>
      </c>
    </row>
    <row r="15" spans="1:10">
      <c r="A15" s="10" t="s">
        <v>27</v>
      </c>
      <c r="B15" s="10">
        <v>151</v>
      </c>
      <c r="C15" s="13">
        <v>0.9139073</v>
      </c>
      <c r="D15" s="13">
        <v>0.9470199</v>
      </c>
      <c r="E15" s="10">
        <v>83</v>
      </c>
      <c r="F15" s="13">
        <v>0.8915663</v>
      </c>
      <c r="G15" s="13">
        <v>0.9759036</v>
      </c>
      <c r="H15" s="10">
        <v>2</v>
      </c>
      <c r="I15" s="13">
        <v>1</v>
      </c>
      <c r="J15" s="13">
        <v>1</v>
      </c>
    </row>
    <row r="16" spans="1:10">
      <c r="A16" s="10" t="s">
        <v>28</v>
      </c>
      <c r="B16" s="11">
        <v>849</v>
      </c>
      <c r="C16" s="12">
        <v>0.786808</v>
      </c>
      <c r="D16" s="12">
        <v>0.9199058</v>
      </c>
      <c r="E16" s="11">
        <v>489</v>
      </c>
      <c r="F16" s="12">
        <v>0.8241309</v>
      </c>
      <c r="G16" s="12">
        <v>0.9284254</v>
      </c>
      <c r="H16" s="11">
        <v>21</v>
      </c>
      <c r="I16" s="12">
        <v>0.7619048</v>
      </c>
      <c r="J16" s="12">
        <v>0.9047619</v>
      </c>
    </row>
    <row r="17" spans="1:10">
      <c r="A17" s="10" t="s">
        <v>29</v>
      </c>
      <c r="B17" s="10">
        <v>214</v>
      </c>
      <c r="C17" s="13">
        <v>0.9158879</v>
      </c>
      <c r="D17" s="13">
        <v>0.9626168</v>
      </c>
      <c r="E17" s="10">
        <v>157</v>
      </c>
      <c r="F17" s="13">
        <v>0.9426752</v>
      </c>
      <c r="G17" s="13">
        <v>0.9872611</v>
      </c>
      <c r="H17" s="10">
        <v>3</v>
      </c>
      <c r="I17" s="13">
        <v>1</v>
      </c>
      <c r="J17" s="13">
        <v>1</v>
      </c>
    </row>
    <row r="18" spans="1:10">
      <c r="A18" s="14" t="s">
        <v>86</v>
      </c>
      <c r="B18" s="15" t="str">
        <f>SUM(B6:B17)</f>
        <v>0</v>
      </c>
      <c r="C18" s="16" t="str">
        <f>((B6*C6)+(B7*C7)+(B8*C8)+(B9*C9)+(B10*C10)+(B11*C11)+(B12*C12)+(B13*C13)+(B14*C14)+(B15*C15)+(B16*C16)+(B17*C17))/B18</f>
        <v>0</v>
      </c>
      <c r="D18" s="16" t="str">
        <f>((B6*D6)+(B7*D7)+(B8*D8)+(B9*D9)+(B10*D10)+(B11*D11)+(B12*D12)+(B13*D13)+(B14*D14)+(B15*D15)+(B16*D16)+(B17*D17))/B18</f>
        <v>0</v>
      </c>
      <c r="E18" s="15" t="str">
        <f>SUM(E6:E17)</f>
        <v>0</v>
      </c>
      <c r="F18" s="16" t="str">
        <f>((E6*F6)+(E7*F7)+(E8*F8)+(E9*F9)+(E10*F10)+(E11*F11)+(E12*F12)+(E13*F13)+(E14*F14)+(E15*F15)+(E16*F16)+(E17*F17))/E18</f>
        <v>0</v>
      </c>
      <c r="G18" s="16" t="str">
        <f>((E6*G6)+(E7*G7)+(E8*G8)+(E9*G9)+(E10*G10)+(E11*G11)+(E12*G12)+(E13*G13)+(E14*G14)+(E15*G15)+(E16*G16)+(E17*G17))/E18</f>
        <v>0</v>
      </c>
      <c r="H18" s="15" t="str">
        <f>SUM(H6:H17)</f>
        <v>0</v>
      </c>
      <c r="I18" s="16" t="str">
        <f>((H6*I6)+(H7*I7)+(H8*I8)+(H9*I9)+(H10*I10)+(H11*I11)+(H12*I12)+(H13*I13)+(H14*I14)+(H15*I15)+(H16*I16)+(H17*I17))/H18</f>
        <v>0</v>
      </c>
      <c r="J18" s="16" t="str">
        <f>((H6*J6)+(H7*J7)+(H8*J8)+(H9*J9)+(H10*J10)+(H11*J11)+(H12*J12)+(H13*J13)+(H14*J14)+(H15*J15)+(H16*J16)+(H17*J17))/H18</f>
        <v>0</v>
      </c>
    </row>
    <row r="20" spans="1:10">
      <c r="B20" s="9" t="s">
        <v>99</v>
      </c>
      <c r="C20" s="9"/>
      <c r="D20" s="9"/>
      <c r="E20" s="9" t="s">
        <v>100</v>
      </c>
      <c r="F20" s="9"/>
      <c r="G20" s="9"/>
      <c r="H20" s="9" t="s">
        <v>101</v>
      </c>
      <c r="I20" s="9"/>
      <c r="J20" s="9"/>
    </row>
    <row r="21" spans="1:10">
      <c r="A21" s="9" t="s">
        <v>31</v>
      </c>
      <c r="B21" s="9" t="s">
        <v>83</v>
      </c>
      <c r="C21" s="9" t="s">
        <v>84</v>
      </c>
      <c r="D21" s="9" t="s">
        <v>85</v>
      </c>
      <c r="E21" s="9" t="s">
        <v>83</v>
      </c>
      <c r="F21" s="9" t="s">
        <v>84</v>
      </c>
      <c r="G21" s="9" t="s">
        <v>85</v>
      </c>
      <c r="H21" s="9" t="s">
        <v>83</v>
      </c>
      <c r="I21" s="9" t="s">
        <v>84</v>
      </c>
      <c r="J21" s="9" t="s">
        <v>85</v>
      </c>
    </row>
    <row r="22" spans="1:10">
      <c r="A22" s="10" t="s">
        <v>57</v>
      </c>
      <c r="B22" s="11">
        <v>1861</v>
      </c>
      <c r="C22" s="12">
        <v>0.7866738</v>
      </c>
      <c r="D22" s="12">
        <v>0.9172488</v>
      </c>
      <c r="E22" s="11">
        <v>891</v>
      </c>
      <c r="F22" s="12">
        <v>0.6891134</v>
      </c>
      <c r="G22" s="12">
        <v>0.8742985</v>
      </c>
      <c r="H22" s="11">
        <v>23</v>
      </c>
      <c r="I22" s="12">
        <v>0.7826087</v>
      </c>
      <c r="J22" s="12">
        <v>0.9565217</v>
      </c>
    </row>
    <row r="23" spans="1:10">
      <c r="A23" s="10" t="s">
        <v>58</v>
      </c>
      <c r="B23" s="10">
        <v>1848</v>
      </c>
      <c r="C23" s="13">
        <v>0.7792208</v>
      </c>
      <c r="D23" s="13">
        <v>0.9318182</v>
      </c>
      <c r="E23" s="10">
        <v>943</v>
      </c>
      <c r="F23" s="13">
        <v>0.8006363</v>
      </c>
      <c r="G23" s="13">
        <v>0.9363733</v>
      </c>
      <c r="H23" s="10">
        <v>30</v>
      </c>
      <c r="I23" s="13">
        <v>0.7666667</v>
      </c>
      <c r="J23" s="13">
        <v>0.8666667</v>
      </c>
    </row>
    <row r="24" spans="1:10">
      <c r="A24" s="10" t="s">
        <v>1</v>
      </c>
      <c r="B24" s="11">
        <v>2069</v>
      </c>
      <c r="C24" s="12">
        <v>0.8153697</v>
      </c>
      <c r="D24" s="12">
        <v>0.9323345</v>
      </c>
      <c r="E24" s="11">
        <v>1224</v>
      </c>
      <c r="F24" s="12">
        <v>0.8472222</v>
      </c>
      <c r="G24" s="12">
        <v>0.9534314</v>
      </c>
      <c r="H24" s="11">
        <v>38</v>
      </c>
      <c r="I24" s="12">
        <v>0.8157895</v>
      </c>
      <c r="J24" s="12">
        <v>0.9473684</v>
      </c>
    </row>
    <row r="25" spans="1:10">
      <c r="A25" s="14" t="s">
        <v>86</v>
      </c>
      <c r="B25" s="15" t="str">
        <f>SUM(B22:B24)</f>
        <v>0</v>
      </c>
      <c r="C25" s="16" t="str">
        <f>((B22*C22)+(B23*C23)+(B24*C24))/B25</f>
        <v>0</v>
      </c>
      <c r="D25" s="16" t="str">
        <f>((B22*D22)+(B23*D23)+(B24*D24))/B25</f>
        <v>0</v>
      </c>
      <c r="E25" s="15" t="str">
        <f>SUM(E22:E24)</f>
        <v>0</v>
      </c>
      <c r="F25" s="16" t="str">
        <f>((E22*F22)+(E23*F23)+(E24*F24))/E25</f>
        <v>0</v>
      </c>
      <c r="G25" s="16" t="str">
        <f>((E22*G22)+(E23*G23)+(E24*G24))/E25</f>
        <v>0</v>
      </c>
      <c r="H25" s="15" t="str">
        <f>SUM(H22:H24)</f>
        <v>0</v>
      </c>
      <c r="I25" s="16" t="str">
        <f>((H22*I22)+(H23*I23)+(H24*I24))/H25</f>
        <v>0</v>
      </c>
      <c r="J25" s="16" t="str">
        <f>((H22*J22)+(H23*J23)+(H24*J24))/H25</f>
        <v>0</v>
      </c>
    </row>
    <row r="28" spans="1:10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</row>
    <row r="30" spans="1:10">
      <c r="A30" s="17" t="s">
        <v>36</v>
      </c>
      <c r="B30" s="18"/>
      <c r="C30" t="s">
        <v>37</v>
      </c>
      <c r="D30"/>
      <c r="E30"/>
      <c r="F30"/>
      <c r="G30"/>
      <c r="H30"/>
      <c r="I30"/>
      <c r="J30"/>
    </row>
    <row r="31" spans="1:10">
      <c r="A31" s="17" t="s">
        <v>40</v>
      </c>
      <c r="B31" s="18"/>
      <c r="C31" t="s">
        <v>41</v>
      </c>
      <c r="D31"/>
      <c r="E31"/>
      <c r="F31"/>
      <c r="G31"/>
      <c r="H31"/>
      <c r="I31"/>
      <c r="J31"/>
    </row>
    <row r="32" spans="1:10">
      <c r="A32" s="17" t="s">
        <v>72</v>
      </c>
      <c r="B32" s="18"/>
      <c r="C32" t="s">
        <v>87</v>
      </c>
      <c r="D32"/>
      <c r="E32"/>
      <c r="F32"/>
      <c r="G32"/>
      <c r="H32"/>
      <c r="I32"/>
      <c r="J32"/>
    </row>
    <row r="33" spans="1:10">
      <c r="A33" s="17" t="s">
        <v>74</v>
      </c>
      <c r="B33" s="18"/>
      <c r="C33" t="s">
        <v>75</v>
      </c>
      <c r="D33"/>
      <c r="E33"/>
      <c r="F33"/>
      <c r="G33"/>
      <c r="H33"/>
      <c r="I33"/>
      <c r="J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  <mergeCell ref="B20:D20"/>
    <mergeCell ref="E20:G20"/>
    <mergeCell ref="H20:J20"/>
    <mergeCell ref="A28:J28"/>
    <mergeCell ref="A30:B30"/>
    <mergeCell ref="C30:J30"/>
    <mergeCell ref="A31:B31"/>
    <mergeCell ref="C31:J31"/>
    <mergeCell ref="A32:B32"/>
    <mergeCell ref="C32:J32"/>
    <mergeCell ref="A33:B33"/>
    <mergeCell ref="C33:J33"/>
  </mergeCells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PSY&amp;RPrinted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26"/>
  <sheetViews>
    <sheetView tabSelected="0" workbookViewId="0" showGridLines="true" showRowColHeaders="1">
      <selection activeCell="C26" sqref="C26"/>
    </sheetView>
  </sheetViews>
  <sheetFormatPr defaultRowHeight="14.4" outlineLevelRow="0" outlineLevelCol="0"/>
  <cols>
    <col min="1" max="1" width="25" customWidth="true" style="0"/>
    <col min="2" max="2" width="20" customWidth="true" style="0"/>
    <col min="3" max="3" width="20" customWidth="true" style="0"/>
    <col min="4" max="4" width="20" customWidth="true" style="0"/>
    <col min="5" max="5" width="35" customWidth="true" style="0"/>
    <col min="6" max="6" width="25" customWidth="true" style="0"/>
  </cols>
  <sheetData>
    <row r="1" spans="1:6">
      <c r="A1" s="6" t="s">
        <v>102</v>
      </c>
      <c r="B1" s="8"/>
      <c r="C1" s="8"/>
      <c r="D1" s="8"/>
      <c r="E1" s="8"/>
      <c r="F1" s="8"/>
    </row>
    <row r="2" spans="1:6">
      <c r="A2" s="7" t="s">
        <v>103</v>
      </c>
      <c r="B2" s="8"/>
      <c r="C2" s="8"/>
      <c r="D2" s="8"/>
      <c r="E2" s="8"/>
      <c r="F2" s="8"/>
    </row>
    <row r="4" spans="1:6">
      <c r="A4" s="9" t="s">
        <v>104</v>
      </c>
      <c r="B4" s="9" t="s">
        <v>105</v>
      </c>
      <c r="C4" s="9" t="s">
        <v>106</v>
      </c>
      <c r="D4" s="9" t="s">
        <v>107</v>
      </c>
      <c r="E4" s="9" t="s">
        <v>108</v>
      </c>
      <c r="F4" s="9" t="s">
        <v>109</v>
      </c>
    </row>
    <row r="5" spans="1:6">
      <c r="A5" s="10" t="s">
        <v>110</v>
      </c>
      <c r="B5" s="10" t="s">
        <v>111</v>
      </c>
      <c r="C5" s="10" t="s">
        <v>112</v>
      </c>
      <c r="D5" s="10" t="s">
        <v>113</v>
      </c>
      <c r="E5" s="13" t="s">
        <v>0</v>
      </c>
      <c r="F5" s="10">
        <v>43</v>
      </c>
    </row>
    <row r="6" spans="1:6">
      <c r="A6" s="11" t="s">
        <v>114</v>
      </c>
      <c r="B6" s="11" t="s">
        <v>111</v>
      </c>
      <c r="C6" s="11" t="s">
        <v>112</v>
      </c>
      <c r="D6" s="11" t="s">
        <v>113</v>
      </c>
      <c r="E6" s="12" t="s">
        <v>0</v>
      </c>
      <c r="F6" s="11">
        <v>55</v>
      </c>
    </row>
    <row r="7" spans="1:6">
      <c r="A7" s="10" t="s">
        <v>115</v>
      </c>
      <c r="B7" s="10" t="s">
        <v>111</v>
      </c>
      <c r="C7" s="10" t="s">
        <v>112</v>
      </c>
      <c r="D7" s="10" t="s">
        <v>113</v>
      </c>
      <c r="E7" s="13" t="s">
        <v>0</v>
      </c>
      <c r="F7" s="10">
        <v>72</v>
      </c>
    </row>
    <row r="8" spans="1:6">
      <c r="A8" s="11" t="s">
        <v>116</v>
      </c>
      <c r="B8" s="11" t="s">
        <v>111</v>
      </c>
      <c r="C8" s="11" t="s">
        <v>112</v>
      </c>
      <c r="D8" s="11" t="s">
        <v>113</v>
      </c>
      <c r="E8" s="12" t="s">
        <v>0</v>
      </c>
      <c r="F8" s="11">
        <v>35</v>
      </c>
    </row>
    <row r="9" spans="1:6">
      <c r="A9" s="10" t="s">
        <v>116</v>
      </c>
      <c r="B9" s="10" t="s">
        <v>117</v>
      </c>
      <c r="C9" s="10" t="s">
        <v>118</v>
      </c>
      <c r="D9" s="10" t="s">
        <v>119</v>
      </c>
      <c r="E9" s="13" t="s">
        <v>120</v>
      </c>
      <c r="F9" s="10">
        <v>63</v>
      </c>
    </row>
    <row r="10" spans="1:6">
      <c r="A10" s="11" t="s">
        <v>116</v>
      </c>
      <c r="B10" s="11" t="s">
        <v>117</v>
      </c>
      <c r="C10" s="11" t="s">
        <v>121</v>
      </c>
      <c r="D10" s="11" t="s">
        <v>122</v>
      </c>
      <c r="E10" s="12" t="s">
        <v>120</v>
      </c>
      <c r="F10" s="11">
        <v>1</v>
      </c>
    </row>
    <row r="11" spans="1:6">
      <c r="A11" s="10" t="s">
        <v>57</v>
      </c>
      <c r="B11" s="10" t="s">
        <v>111</v>
      </c>
      <c r="C11" s="10" t="s">
        <v>112</v>
      </c>
      <c r="D11" s="10" t="s">
        <v>113</v>
      </c>
      <c r="E11" s="13" t="s">
        <v>0</v>
      </c>
      <c r="F11" s="10">
        <v>21</v>
      </c>
    </row>
    <row r="12" spans="1:6">
      <c r="A12" s="11" t="s">
        <v>57</v>
      </c>
      <c r="B12" s="11" t="s">
        <v>117</v>
      </c>
      <c r="C12" s="11" t="s">
        <v>118</v>
      </c>
      <c r="D12" s="11" t="s">
        <v>119</v>
      </c>
      <c r="E12" s="12" t="s">
        <v>120</v>
      </c>
      <c r="F12" s="11">
        <v>103</v>
      </c>
    </row>
    <row r="13" spans="1:6">
      <c r="A13" s="10" t="s">
        <v>57</v>
      </c>
      <c r="B13" s="10" t="s">
        <v>117</v>
      </c>
      <c r="C13" s="10" t="s">
        <v>121</v>
      </c>
      <c r="D13" s="10" t="s">
        <v>122</v>
      </c>
      <c r="E13" s="13" t="s">
        <v>120</v>
      </c>
      <c r="F13" s="10">
        <v>3</v>
      </c>
    </row>
    <row r="14" spans="1:6">
      <c r="A14" s="11" t="s">
        <v>58</v>
      </c>
      <c r="B14" s="11" t="s">
        <v>111</v>
      </c>
      <c r="C14" s="11" t="s">
        <v>112</v>
      </c>
      <c r="D14" s="11" t="s">
        <v>113</v>
      </c>
      <c r="E14" s="12" t="s">
        <v>0</v>
      </c>
      <c r="F14" s="11">
        <v>2</v>
      </c>
    </row>
    <row r="15" spans="1:6">
      <c r="A15" s="10" t="s">
        <v>58</v>
      </c>
      <c r="B15" s="10" t="s">
        <v>117</v>
      </c>
      <c r="C15" s="10" t="s">
        <v>118</v>
      </c>
      <c r="D15" s="10" t="s">
        <v>119</v>
      </c>
      <c r="E15" s="13" t="s">
        <v>120</v>
      </c>
      <c r="F15" s="10">
        <v>90</v>
      </c>
    </row>
    <row r="16" spans="1:6">
      <c r="A16" s="11" t="s">
        <v>58</v>
      </c>
      <c r="B16" s="11" t="s">
        <v>117</v>
      </c>
      <c r="C16" s="11" t="s">
        <v>121</v>
      </c>
      <c r="D16" s="11" t="s">
        <v>122</v>
      </c>
      <c r="E16" s="12" t="s">
        <v>120</v>
      </c>
      <c r="F16" s="11">
        <v>2</v>
      </c>
    </row>
    <row r="17" spans="1:6">
      <c r="A17" s="10" t="s">
        <v>1</v>
      </c>
      <c r="B17" s="10" t="s">
        <v>111</v>
      </c>
      <c r="C17" s="10" t="s">
        <v>112</v>
      </c>
      <c r="D17" s="10" t="s">
        <v>113</v>
      </c>
      <c r="E17" s="13" t="s">
        <v>0</v>
      </c>
      <c r="F17" s="10">
        <v>3</v>
      </c>
    </row>
    <row r="18" spans="1:6">
      <c r="A18" s="11" t="s">
        <v>1</v>
      </c>
      <c r="B18" s="11" t="s">
        <v>117</v>
      </c>
      <c r="C18" s="11" t="s">
        <v>118</v>
      </c>
      <c r="D18" s="11" t="s">
        <v>119</v>
      </c>
      <c r="E18" s="12" t="s">
        <v>120</v>
      </c>
      <c r="F18" s="11">
        <v>106</v>
      </c>
    </row>
    <row r="19" spans="1:6">
      <c r="A19" s="27"/>
      <c r="B19" s="27"/>
      <c r="C19" s="27"/>
      <c r="D19" s="27"/>
      <c r="E19" s="28" t="s">
        <v>86</v>
      </c>
      <c r="F19" s="15" t="str">
        <f>SUM(F5:F18)</f>
        <v>0</v>
      </c>
    </row>
    <row r="22" spans="1:6">
      <c r="A22" s="6" t="s">
        <v>35</v>
      </c>
      <c r="B22" s="8"/>
      <c r="C22" s="8"/>
      <c r="D22" s="8"/>
      <c r="E22" s="8"/>
      <c r="F22" s="8"/>
    </row>
    <row r="24" spans="1:6" customHeight="1" ht="30">
      <c r="A24" s="22" t="s">
        <v>36</v>
      </c>
      <c r="B24" s="18"/>
      <c r="C24" s="23" t="s">
        <v>37</v>
      </c>
      <c r="D24"/>
      <c r="E24"/>
      <c r="F24"/>
    </row>
    <row r="25" spans="1:6">
      <c r="A25" s="22" t="s">
        <v>123</v>
      </c>
      <c r="B25" s="18"/>
      <c r="C25" t="s">
        <v>124</v>
      </c>
      <c r="D25"/>
      <c r="E25"/>
      <c r="F25"/>
    </row>
    <row r="26" spans="1:6" customHeight="1" ht="30">
      <c r="A26" s="22" t="s">
        <v>125</v>
      </c>
      <c r="B26" s="18"/>
      <c r="C26" s="23" t="s">
        <v>126</v>
      </c>
      <c r="D26"/>
      <c r="E26"/>
      <c r="F2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F1"/>
    <mergeCell ref="A2:F2"/>
    <mergeCell ref="A22:F22"/>
    <mergeCell ref="A24:B24"/>
    <mergeCell ref="C24:F24"/>
    <mergeCell ref="A25:B25"/>
    <mergeCell ref="C25:F25"/>
    <mergeCell ref="A26:B26"/>
    <mergeCell ref="C26:F26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PSY&amp;RPrinted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  <pageSetUpPr fitToPage="1"/>
  </sheetPr>
  <dimension ref="A1:T131"/>
  <sheetViews>
    <sheetView tabSelected="0" workbookViewId="0" showGridLines="true" showRowColHeaders="1">
      <selection activeCell="R6" sqref="R6"/>
    </sheetView>
  </sheetViews>
  <sheetFormatPr defaultRowHeight="14.4" outlineLevelRow="0" outlineLevelCol="0"/>
  <cols>
    <col min="1" max="1" width="15" customWidth="true" style="0"/>
    <col min="2" max="2" width="14" hidden="true" customWidth="true" style="0"/>
    <col min="3" max="3" width="12" customWidth="true" style="0"/>
    <col min="4" max="4" width="8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10" customWidth="true" style="0"/>
    <col min="11" max="11" width="10" hidden="true" customWidth="true" style="0"/>
    <col min="12" max="12" width="10" customWidth="true" style="0"/>
    <col min="13" max="13" width="10" hidden="true" customWidth="true" style="0"/>
    <col min="14" max="14" width="11" customWidth="true" style="0"/>
    <col min="15" max="15" width="8" customWidth="true" style="0"/>
    <col min="16" max="16" width="8" customWidth="true" style="0"/>
    <col min="17" max="17" width="8" customWidth="true" style="0"/>
    <col min="18" max="18" width="15" customWidth="true" style="0"/>
    <col min="19" max="19" width="10" customWidth="true" style="0"/>
    <col min="20" max="20" width="15" customWidth="true" style="0"/>
  </cols>
  <sheetData>
    <row r="1" spans="1:20">
      <c r="A1" s="6" t="s">
        <v>127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pans="1:20">
      <c r="A2" s="7" t="s">
        <v>128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pans="1:20">
      <c r="A3" s="7" t="s">
        <v>129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5" spans="1:20">
      <c r="A5" s="29" t="s">
        <v>104</v>
      </c>
      <c r="B5" s="25" t="s">
        <v>130</v>
      </c>
      <c r="C5" s="29" t="s">
        <v>131</v>
      </c>
      <c r="D5" s="25" t="s">
        <v>132</v>
      </c>
      <c r="E5" s="25" t="s">
        <v>133</v>
      </c>
      <c r="F5" s="25" t="s">
        <v>134</v>
      </c>
      <c r="G5" s="29" t="s">
        <v>135</v>
      </c>
      <c r="H5" s="29" t="s">
        <v>136</v>
      </c>
      <c r="I5" s="29" t="s">
        <v>137</v>
      </c>
      <c r="J5" s="29" t="s">
        <v>138</v>
      </c>
      <c r="K5" s="29" t="s">
        <v>139</v>
      </c>
      <c r="L5" s="29" t="s">
        <v>140</v>
      </c>
      <c r="M5" s="29" t="s">
        <v>141</v>
      </c>
      <c r="N5" s="29" t="s">
        <v>142</v>
      </c>
      <c r="O5" s="29" t="s">
        <v>143</v>
      </c>
      <c r="P5" s="29" t="s">
        <v>54</v>
      </c>
      <c r="Q5" s="29" t="s">
        <v>55</v>
      </c>
      <c r="R5" s="29" t="s">
        <v>144</v>
      </c>
      <c r="S5" s="29" t="s">
        <v>145</v>
      </c>
      <c r="T5" s="29" t="s">
        <v>146</v>
      </c>
    </row>
    <row r="6" spans="1:20">
      <c r="A6" s="30" t="s">
        <v>57</v>
      </c>
      <c r="B6" s="30" t="s">
        <v>18</v>
      </c>
      <c r="C6" s="30">
        <v>201610</v>
      </c>
      <c r="D6" s="30" t="s">
        <v>111</v>
      </c>
      <c r="E6" s="30" t="s">
        <v>147</v>
      </c>
      <c r="F6" s="30" t="s">
        <v>148</v>
      </c>
      <c r="G6" s="30">
        <v>7</v>
      </c>
      <c r="H6" s="30">
        <v>257</v>
      </c>
      <c r="I6" s="30">
        <v>339</v>
      </c>
      <c r="J6" s="30">
        <v>371</v>
      </c>
      <c r="K6" s="30">
        <v>257</v>
      </c>
      <c r="L6" s="31">
        <v>0.69272</v>
      </c>
      <c r="M6" s="30">
        <v>339</v>
      </c>
      <c r="N6" s="31">
        <v>0.91375</v>
      </c>
      <c r="O6" s="30">
        <v>3.375</v>
      </c>
      <c r="P6" s="30">
        <v>1252.125</v>
      </c>
      <c r="Q6" s="30">
        <v>1.8</v>
      </c>
      <c r="R6" s="30">
        <v>695.63</v>
      </c>
      <c r="S6" s="30">
        <v>35.81</v>
      </c>
      <c r="T6" s="30">
        <v>34.97</v>
      </c>
    </row>
    <row r="7" spans="1:20">
      <c r="A7" s="26" t="s">
        <v>57</v>
      </c>
      <c r="B7" s="26" t="s">
        <v>18</v>
      </c>
      <c r="C7" s="26">
        <v>201610</v>
      </c>
      <c r="D7" s="26" t="s">
        <v>111</v>
      </c>
      <c r="E7" s="26" t="s">
        <v>147</v>
      </c>
      <c r="F7" s="26" t="s">
        <v>149</v>
      </c>
      <c r="G7" s="26">
        <v>5</v>
      </c>
      <c r="H7" s="26">
        <v>129</v>
      </c>
      <c r="I7" s="26">
        <v>152</v>
      </c>
      <c r="J7" s="26">
        <v>170</v>
      </c>
      <c r="K7" s="26">
        <v>129</v>
      </c>
      <c r="L7" s="32">
        <v>0.75882</v>
      </c>
      <c r="M7" s="26">
        <v>152</v>
      </c>
      <c r="N7" s="32">
        <v>0.89412</v>
      </c>
      <c r="O7" s="26">
        <v>3.375</v>
      </c>
      <c r="P7" s="26">
        <v>573.75</v>
      </c>
      <c r="Q7" s="26">
        <v>1</v>
      </c>
      <c r="R7" s="26">
        <v>573.75</v>
      </c>
      <c r="S7" s="26">
        <v>16.56</v>
      </c>
      <c r="T7" s="26">
        <v>34.65</v>
      </c>
    </row>
    <row r="8" spans="1:20">
      <c r="A8" s="30" t="s">
        <v>57</v>
      </c>
      <c r="B8" s="30" t="s">
        <v>19</v>
      </c>
      <c r="C8" s="30">
        <v>201615</v>
      </c>
      <c r="D8" s="30" t="s">
        <v>111</v>
      </c>
      <c r="E8" s="30" t="s">
        <v>147</v>
      </c>
      <c r="F8" s="30" t="s">
        <v>149</v>
      </c>
      <c r="G8" s="30">
        <v>1</v>
      </c>
      <c r="H8" s="30">
        <v>10</v>
      </c>
      <c r="I8" s="30">
        <v>10</v>
      </c>
      <c r="J8" s="30">
        <v>10</v>
      </c>
      <c r="K8" s="30">
        <v>10</v>
      </c>
      <c r="L8" s="31">
        <v>1</v>
      </c>
      <c r="M8" s="30">
        <v>10</v>
      </c>
      <c r="N8" s="31">
        <v>1</v>
      </c>
      <c r="O8" s="30">
        <v>3.375</v>
      </c>
      <c r="P8" s="30">
        <v>33.75</v>
      </c>
      <c r="Q8" s="30">
        <v>0.2</v>
      </c>
      <c r="R8" s="30">
        <v>168.75</v>
      </c>
      <c r="S8" s="30">
        <v>0.98</v>
      </c>
      <c r="T8" s="30">
        <v>34.44</v>
      </c>
    </row>
    <row r="9" spans="1:20">
      <c r="A9" s="26" t="s">
        <v>57</v>
      </c>
      <c r="B9" s="26" t="s">
        <v>19</v>
      </c>
      <c r="C9" s="26">
        <v>201615</v>
      </c>
      <c r="D9" s="26" t="s">
        <v>111</v>
      </c>
      <c r="E9" s="26" t="s">
        <v>147</v>
      </c>
      <c r="F9" s="26" t="s">
        <v>148</v>
      </c>
      <c r="G9" s="26">
        <v>2</v>
      </c>
      <c r="H9" s="26">
        <v>57</v>
      </c>
      <c r="I9" s="26">
        <v>58</v>
      </c>
      <c r="J9" s="26">
        <v>61</v>
      </c>
      <c r="K9" s="26">
        <v>57</v>
      </c>
      <c r="L9" s="32">
        <v>0.93443</v>
      </c>
      <c r="M9" s="26">
        <v>58</v>
      </c>
      <c r="N9" s="32">
        <v>0.95082</v>
      </c>
      <c r="O9" s="26">
        <v>3.375</v>
      </c>
      <c r="P9" s="26">
        <v>205.875</v>
      </c>
      <c r="Q9" s="26">
        <v>0.4</v>
      </c>
      <c r="R9" s="26">
        <v>514.69</v>
      </c>
      <c r="S9" s="26">
        <v>5.96</v>
      </c>
      <c r="T9" s="26">
        <v>34.54</v>
      </c>
    </row>
    <row r="10" spans="1:20">
      <c r="A10" s="30" t="s">
        <v>57</v>
      </c>
      <c r="B10" s="30" t="s">
        <v>20</v>
      </c>
      <c r="C10" s="30">
        <v>201620</v>
      </c>
      <c r="D10" s="30" t="s">
        <v>111</v>
      </c>
      <c r="E10" s="30" t="s">
        <v>147</v>
      </c>
      <c r="F10" s="30" t="s">
        <v>149</v>
      </c>
      <c r="G10" s="30">
        <v>3</v>
      </c>
      <c r="H10" s="30">
        <v>71</v>
      </c>
      <c r="I10" s="30">
        <v>82</v>
      </c>
      <c r="J10" s="30">
        <v>99</v>
      </c>
      <c r="K10" s="30">
        <v>71</v>
      </c>
      <c r="L10" s="31">
        <v>0.71717</v>
      </c>
      <c r="M10" s="30">
        <v>82</v>
      </c>
      <c r="N10" s="31">
        <v>0.82828</v>
      </c>
      <c r="O10" s="30">
        <v>3.375</v>
      </c>
      <c r="P10" s="30">
        <v>334.125</v>
      </c>
      <c r="Q10" s="30">
        <v>0.6</v>
      </c>
      <c r="R10" s="30">
        <v>556.88</v>
      </c>
      <c r="S10" s="30">
        <v>9.54</v>
      </c>
      <c r="T10" s="30">
        <v>35.02</v>
      </c>
    </row>
    <row r="11" spans="1:20">
      <c r="A11" s="26" t="s">
        <v>57</v>
      </c>
      <c r="B11" s="26" t="s">
        <v>20</v>
      </c>
      <c r="C11" s="26">
        <v>201620</v>
      </c>
      <c r="D11" s="26" t="s">
        <v>111</v>
      </c>
      <c r="E11" s="26" t="s">
        <v>147</v>
      </c>
      <c r="F11" s="26" t="s">
        <v>148</v>
      </c>
      <c r="G11" s="26">
        <v>6</v>
      </c>
      <c r="H11" s="26">
        <v>171</v>
      </c>
      <c r="I11" s="26">
        <v>240</v>
      </c>
      <c r="J11" s="26">
        <v>298</v>
      </c>
      <c r="K11" s="26">
        <v>171</v>
      </c>
      <c r="L11" s="32">
        <v>0.57383</v>
      </c>
      <c r="M11" s="26">
        <v>240</v>
      </c>
      <c r="N11" s="32">
        <v>0.80537</v>
      </c>
      <c r="O11" s="26">
        <v>3.375</v>
      </c>
      <c r="P11" s="26">
        <v>1005.75</v>
      </c>
      <c r="Q11" s="26">
        <v>1.6</v>
      </c>
      <c r="R11" s="26">
        <v>628.59</v>
      </c>
      <c r="S11" s="26">
        <v>28.7</v>
      </c>
      <c r="T11" s="26">
        <v>35.04</v>
      </c>
    </row>
    <row r="12" spans="1:20">
      <c r="A12" s="30" t="s">
        <v>57</v>
      </c>
      <c r="B12" s="30" t="s">
        <v>21</v>
      </c>
      <c r="C12" s="30">
        <v>201630</v>
      </c>
      <c r="D12" s="30" t="s">
        <v>111</v>
      </c>
      <c r="E12" s="30" t="s">
        <v>147</v>
      </c>
      <c r="F12" s="30" t="s">
        <v>150</v>
      </c>
      <c r="G12" s="30">
        <v>1</v>
      </c>
      <c r="H12" s="30">
        <v>19</v>
      </c>
      <c r="I12" s="30">
        <v>28</v>
      </c>
      <c r="J12" s="30">
        <v>30</v>
      </c>
      <c r="K12" s="30">
        <v>19</v>
      </c>
      <c r="L12" s="31">
        <v>0.63333</v>
      </c>
      <c r="M12" s="30">
        <v>28</v>
      </c>
      <c r="N12" s="31">
        <v>0.93333</v>
      </c>
      <c r="O12" s="30">
        <v>3.375</v>
      </c>
      <c r="P12" s="30">
        <v>101.25</v>
      </c>
      <c r="Q12" s="30">
        <v>0.2</v>
      </c>
      <c r="R12" s="30">
        <v>506.25</v>
      </c>
      <c r="S12" s="30">
        <v>2.55</v>
      </c>
      <c r="T12" s="30">
        <v>39.71</v>
      </c>
    </row>
    <row r="13" spans="1:20">
      <c r="A13" s="26" t="s">
        <v>57</v>
      </c>
      <c r="B13" s="26" t="s">
        <v>21</v>
      </c>
      <c r="C13" s="26">
        <v>201630</v>
      </c>
      <c r="D13" s="26" t="s">
        <v>111</v>
      </c>
      <c r="E13" s="26" t="s">
        <v>147</v>
      </c>
      <c r="F13" s="26" t="s">
        <v>149</v>
      </c>
      <c r="G13" s="26">
        <v>2</v>
      </c>
      <c r="H13" s="26">
        <v>32</v>
      </c>
      <c r="I13" s="26">
        <v>36</v>
      </c>
      <c r="J13" s="26">
        <v>38</v>
      </c>
      <c r="K13" s="26">
        <v>32</v>
      </c>
      <c r="L13" s="32">
        <v>0.84211</v>
      </c>
      <c r="M13" s="26">
        <v>36</v>
      </c>
      <c r="N13" s="32">
        <v>0.94737</v>
      </c>
      <c r="O13" s="26">
        <v>3.375</v>
      </c>
      <c r="P13" s="26">
        <v>128.25</v>
      </c>
      <c r="Q13" s="26">
        <v>0.4</v>
      </c>
      <c r="R13" s="26">
        <v>320.63</v>
      </c>
      <c r="S13" s="26">
        <v>3.71</v>
      </c>
      <c r="T13" s="26">
        <v>34.57</v>
      </c>
    </row>
    <row r="14" spans="1:20">
      <c r="A14" s="30" t="s">
        <v>57</v>
      </c>
      <c r="B14" s="30" t="s">
        <v>21</v>
      </c>
      <c r="C14" s="30">
        <v>201630</v>
      </c>
      <c r="D14" s="30" t="s">
        <v>111</v>
      </c>
      <c r="E14" s="30" t="s">
        <v>147</v>
      </c>
      <c r="F14" s="30" t="s">
        <v>148</v>
      </c>
      <c r="G14" s="30">
        <v>2</v>
      </c>
      <c r="H14" s="30">
        <v>39</v>
      </c>
      <c r="I14" s="30">
        <v>41</v>
      </c>
      <c r="J14" s="30">
        <v>44</v>
      </c>
      <c r="K14" s="30">
        <v>39</v>
      </c>
      <c r="L14" s="31">
        <v>0.88636</v>
      </c>
      <c r="M14" s="30">
        <v>41</v>
      </c>
      <c r="N14" s="31">
        <v>0.93182</v>
      </c>
      <c r="O14" s="30">
        <v>3.375</v>
      </c>
      <c r="P14" s="30">
        <v>148.5</v>
      </c>
      <c r="Q14" s="30">
        <v>0.4</v>
      </c>
      <c r="R14" s="30">
        <v>371.25</v>
      </c>
      <c r="S14" s="30">
        <v>4.27</v>
      </c>
      <c r="T14" s="30">
        <v>34.78</v>
      </c>
    </row>
    <row r="15" spans="1:20">
      <c r="A15" s="26" t="s">
        <v>58</v>
      </c>
      <c r="B15" s="26" t="s">
        <v>22</v>
      </c>
      <c r="C15" s="26">
        <v>201710</v>
      </c>
      <c r="D15" s="26" t="s">
        <v>111</v>
      </c>
      <c r="E15" s="26" t="s">
        <v>147</v>
      </c>
      <c r="F15" s="26" t="s">
        <v>148</v>
      </c>
      <c r="G15" s="26">
        <v>7</v>
      </c>
      <c r="H15" s="26">
        <v>254</v>
      </c>
      <c r="I15" s="26">
        <v>326</v>
      </c>
      <c r="J15" s="26">
        <v>347</v>
      </c>
      <c r="K15" s="26">
        <v>254</v>
      </c>
      <c r="L15" s="32">
        <v>0.73199</v>
      </c>
      <c r="M15" s="26">
        <v>326</v>
      </c>
      <c r="N15" s="32">
        <v>0.93948</v>
      </c>
      <c r="O15" s="26">
        <v>3.375</v>
      </c>
      <c r="P15" s="26">
        <v>1171.125</v>
      </c>
      <c r="Q15" s="26">
        <v>1.6</v>
      </c>
      <c r="R15" s="26">
        <v>731.95</v>
      </c>
      <c r="S15" s="26">
        <v>32.98</v>
      </c>
      <c r="T15" s="26">
        <v>35.51</v>
      </c>
    </row>
    <row r="16" spans="1:20">
      <c r="A16" s="30" t="s">
        <v>58</v>
      </c>
      <c r="B16" s="30" t="s">
        <v>22</v>
      </c>
      <c r="C16" s="30">
        <v>201710</v>
      </c>
      <c r="D16" s="30" t="s">
        <v>111</v>
      </c>
      <c r="E16" s="30" t="s">
        <v>147</v>
      </c>
      <c r="F16" s="30" t="s">
        <v>149</v>
      </c>
      <c r="G16" s="30">
        <v>4</v>
      </c>
      <c r="H16" s="30">
        <v>93</v>
      </c>
      <c r="I16" s="30">
        <v>108</v>
      </c>
      <c r="J16" s="30">
        <v>120</v>
      </c>
      <c r="K16" s="30">
        <v>93</v>
      </c>
      <c r="L16" s="31">
        <v>0.775</v>
      </c>
      <c r="M16" s="30">
        <v>108</v>
      </c>
      <c r="N16" s="31">
        <v>0.9</v>
      </c>
      <c r="O16" s="30">
        <v>3.375</v>
      </c>
      <c r="P16" s="30">
        <v>405</v>
      </c>
      <c r="Q16" s="30">
        <v>0.8</v>
      </c>
      <c r="R16" s="30">
        <v>506.25</v>
      </c>
      <c r="S16" s="30">
        <v>11.55</v>
      </c>
      <c r="T16" s="30">
        <v>35.06</v>
      </c>
    </row>
    <row r="17" spans="1:20">
      <c r="A17" s="26" t="s">
        <v>58</v>
      </c>
      <c r="B17" s="26" t="s">
        <v>22</v>
      </c>
      <c r="C17" s="26">
        <v>201710</v>
      </c>
      <c r="D17" s="26" t="s">
        <v>111</v>
      </c>
      <c r="E17" s="26" t="s">
        <v>147</v>
      </c>
      <c r="F17" s="26" t="s">
        <v>150</v>
      </c>
      <c r="G17" s="26">
        <v>1</v>
      </c>
      <c r="H17" s="26">
        <v>25</v>
      </c>
      <c r="I17" s="26">
        <v>33</v>
      </c>
      <c r="J17" s="26">
        <v>38</v>
      </c>
      <c r="K17" s="26">
        <v>25</v>
      </c>
      <c r="L17" s="32">
        <v>0.65789</v>
      </c>
      <c r="M17" s="26">
        <v>33</v>
      </c>
      <c r="N17" s="32">
        <v>0.86842</v>
      </c>
      <c r="O17" s="26">
        <v>3.375</v>
      </c>
      <c r="P17" s="26">
        <v>128.25</v>
      </c>
      <c r="Q17" s="26">
        <v>0.2</v>
      </c>
      <c r="R17" s="26">
        <v>641.25</v>
      </c>
      <c r="S17" s="26">
        <v>3.23</v>
      </c>
      <c r="T17" s="26">
        <v>39.71</v>
      </c>
    </row>
    <row r="18" spans="1:20">
      <c r="A18" s="30" t="s">
        <v>58</v>
      </c>
      <c r="B18" s="30" t="s">
        <v>23</v>
      </c>
      <c r="C18" s="30">
        <v>201715</v>
      </c>
      <c r="D18" s="30" t="s">
        <v>111</v>
      </c>
      <c r="E18" s="30" t="s">
        <v>147</v>
      </c>
      <c r="F18" s="30" t="s">
        <v>149</v>
      </c>
      <c r="G18" s="30">
        <v>1</v>
      </c>
      <c r="H18" s="30">
        <v>25</v>
      </c>
      <c r="I18" s="30">
        <v>25</v>
      </c>
      <c r="J18" s="30">
        <v>25</v>
      </c>
      <c r="K18" s="30">
        <v>25</v>
      </c>
      <c r="L18" s="31">
        <v>1</v>
      </c>
      <c r="M18" s="30">
        <v>25</v>
      </c>
      <c r="N18" s="31">
        <v>1</v>
      </c>
      <c r="O18" s="30">
        <v>3.375</v>
      </c>
      <c r="P18" s="30">
        <v>84.375</v>
      </c>
      <c r="Q18" s="30">
        <v>0.2</v>
      </c>
      <c r="R18" s="30">
        <v>421.88</v>
      </c>
      <c r="S18" s="30">
        <v>2.44</v>
      </c>
      <c r="T18" s="30">
        <v>34.58</v>
      </c>
    </row>
    <row r="19" spans="1:20">
      <c r="A19" s="26" t="s">
        <v>58</v>
      </c>
      <c r="B19" s="26" t="s">
        <v>23</v>
      </c>
      <c r="C19" s="26">
        <v>201715</v>
      </c>
      <c r="D19" s="26" t="s">
        <v>111</v>
      </c>
      <c r="E19" s="26" t="s">
        <v>147</v>
      </c>
      <c r="F19" s="26" t="s">
        <v>148</v>
      </c>
      <c r="G19" s="26">
        <v>2</v>
      </c>
      <c r="H19" s="26">
        <v>56</v>
      </c>
      <c r="I19" s="26">
        <v>64</v>
      </c>
      <c r="J19" s="26">
        <v>69</v>
      </c>
      <c r="K19" s="26">
        <v>56</v>
      </c>
      <c r="L19" s="32">
        <v>0.81159</v>
      </c>
      <c r="M19" s="26">
        <v>64</v>
      </c>
      <c r="N19" s="32">
        <v>0.92754</v>
      </c>
      <c r="O19" s="26">
        <v>3.375</v>
      </c>
      <c r="P19" s="26">
        <v>232.875</v>
      </c>
      <c r="Q19" s="26">
        <v>0.4</v>
      </c>
      <c r="R19" s="26">
        <v>582.19</v>
      </c>
      <c r="S19" s="26">
        <v>6.74</v>
      </c>
      <c r="T19" s="26">
        <v>34.55</v>
      </c>
    </row>
    <row r="20" spans="1:20">
      <c r="A20" s="30" t="s">
        <v>58</v>
      </c>
      <c r="B20" s="30" t="s">
        <v>23</v>
      </c>
      <c r="C20" s="30">
        <v>201715</v>
      </c>
      <c r="D20" s="30" t="s">
        <v>111</v>
      </c>
      <c r="E20" s="30" t="s">
        <v>147</v>
      </c>
      <c r="F20" s="30" t="s">
        <v>150</v>
      </c>
      <c r="G20" s="30">
        <v>1</v>
      </c>
      <c r="H20" s="30">
        <v>25</v>
      </c>
      <c r="I20" s="30">
        <v>25</v>
      </c>
      <c r="J20" s="30">
        <v>31</v>
      </c>
      <c r="K20" s="30">
        <v>25</v>
      </c>
      <c r="L20" s="31">
        <v>0.80645</v>
      </c>
      <c r="M20" s="30">
        <v>25</v>
      </c>
      <c r="N20" s="31">
        <v>0.80645</v>
      </c>
      <c r="O20" s="30">
        <v>3.375</v>
      </c>
      <c r="P20" s="30">
        <v>104.625</v>
      </c>
      <c r="Q20" s="30">
        <v>0.2</v>
      </c>
      <c r="R20" s="30">
        <v>523.13</v>
      </c>
      <c r="S20" s="30">
        <v>2.63</v>
      </c>
      <c r="T20" s="30">
        <v>39.78</v>
      </c>
    </row>
    <row r="21" spans="1:20">
      <c r="A21" s="26" t="s">
        <v>58</v>
      </c>
      <c r="B21" s="26" t="s">
        <v>24</v>
      </c>
      <c r="C21" s="26">
        <v>201720</v>
      </c>
      <c r="D21" s="26" t="s">
        <v>111</v>
      </c>
      <c r="E21" s="26" t="s">
        <v>147</v>
      </c>
      <c r="F21" s="26" t="s">
        <v>149</v>
      </c>
      <c r="G21" s="26">
        <v>6</v>
      </c>
      <c r="H21" s="26">
        <v>127</v>
      </c>
      <c r="I21" s="26">
        <v>147</v>
      </c>
      <c r="J21" s="26">
        <v>158</v>
      </c>
      <c r="K21" s="26">
        <v>127</v>
      </c>
      <c r="L21" s="32">
        <v>0.8038</v>
      </c>
      <c r="M21" s="26">
        <v>147</v>
      </c>
      <c r="N21" s="32">
        <v>0.93038</v>
      </c>
      <c r="O21" s="26">
        <v>3.375</v>
      </c>
      <c r="P21" s="26">
        <v>533.25</v>
      </c>
      <c r="Q21" s="26">
        <v>1.2</v>
      </c>
      <c r="R21" s="26">
        <v>444.38</v>
      </c>
      <c r="S21" s="26">
        <v>15.21</v>
      </c>
      <c r="T21" s="26">
        <v>35.06</v>
      </c>
    </row>
    <row r="22" spans="1:20">
      <c r="A22" s="30" t="s">
        <v>58</v>
      </c>
      <c r="B22" s="30" t="s">
        <v>24</v>
      </c>
      <c r="C22" s="30">
        <v>201720</v>
      </c>
      <c r="D22" s="30" t="s">
        <v>111</v>
      </c>
      <c r="E22" s="30" t="s">
        <v>147</v>
      </c>
      <c r="F22" s="30" t="s">
        <v>150</v>
      </c>
      <c r="G22" s="30">
        <v>1</v>
      </c>
      <c r="H22" s="30">
        <v>16</v>
      </c>
      <c r="I22" s="30">
        <v>29</v>
      </c>
      <c r="J22" s="30">
        <v>35</v>
      </c>
      <c r="K22" s="30">
        <v>16</v>
      </c>
      <c r="L22" s="31">
        <v>0.45714</v>
      </c>
      <c r="M22" s="30">
        <v>29</v>
      </c>
      <c r="N22" s="31">
        <v>0.82857</v>
      </c>
      <c r="O22" s="30">
        <v>3.375</v>
      </c>
      <c r="P22" s="30">
        <v>118.125</v>
      </c>
      <c r="Q22" s="30">
        <v>0.2</v>
      </c>
      <c r="R22" s="30">
        <v>590.63</v>
      </c>
      <c r="S22" s="30">
        <v>2.97</v>
      </c>
      <c r="T22" s="30">
        <v>39.77</v>
      </c>
    </row>
    <row r="23" spans="1:20">
      <c r="A23" s="26" t="s">
        <v>58</v>
      </c>
      <c r="B23" s="26" t="s">
        <v>24</v>
      </c>
      <c r="C23" s="26">
        <v>201720</v>
      </c>
      <c r="D23" s="26" t="s">
        <v>111</v>
      </c>
      <c r="E23" s="26" t="s">
        <v>147</v>
      </c>
      <c r="F23" s="26" t="s">
        <v>148</v>
      </c>
      <c r="G23" s="26">
        <v>3</v>
      </c>
      <c r="H23" s="26">
        <v>104</v>
      </c>
      <c r="I23" s="26">
        <v>156</v>
      </c>
      <c r="J23" s="26">
        <v>169</v>
      </c>
      <c r="K23" s="26">
        <v>104</v>
      </c>
      <c r="L23" s="32">
        <v>0.61538</v>
      </c>
      <c r="M23" s="26">
        <v>156</v>
      </c>
      <c r="N23" s="32">
        <v>0.92308</v>
      </c>
      <c r="O23" s="26">
        <v>3.375</v>
      </c>
      <c r="P23" s="26">
        <v>570.375</v>
      </c>
      <c r="Q23" s="26">
        <v>0.8</v>
      </c>
      <c r="R23" s="26">
        <v>712.97</v>
      </c>
      <c r="S23" s="26">
        <v>16.27</v>
      </c>
      <c r="T23" s="26">
        <v>35.06</v>
      </c>
    </row>
    <row r="24" spans="1:20">
      <c r="A24" s="30" t="s">
        <v>58</v>
      </c>
      <c r="B24" s="30" t="s">
        <v>25</v>
      </c>
      <c r="C24" s="30">
        <v>201730</v>
      </c>
      <c r="D24" s="30" t="s">
        <v>111</v>
      </c>
      <c r="E24" s="30" t="s">
        <v>147</v>
      </c>
      <c r="F24" s="30" t="s">
        <v>150</v>
      </c>
      <c r="G24" s="30">
        <v>1</v>
      </c>
      <c r="H24" s="30">
        <v>59</v>
      </c>
      <c r="I24" s="30">
        <v>59</v>
      </c>
      <c r="J24" s="30">
        <v>67</v>
      </c>
      <c r="K24" s="30">
        <v>59</v>
      </c>
      <c r="L24" s="31">
        <v>0.8806</v>
      </c>
      <c r="M24" s="30">
        <v>59</v>
      </c>
      <c r="N24" s="31">
        <v>0.8806</v>
      </c>
      <c r="O24" s="30">
        <v>3.375</v>
      </c>
      <c r="P24" s="30">
        <v>226.125</v>
      </c>
      <c r="Q24" s="30">
        <v>0.33</v>
      </c>
      <c r="R24" s="30">
        <v>685.23</v>
      </c>
      <c r="S24" s="30">
        <v>5.69</v>
      </c>
      <c r="T24" s="30">
        <v>39.74</v>
      </c>
    </row>
    <row r="25" spans="1:20">
      <c r="A25" s="26" t="s">
        <v>58</v>
      </c>
      <c r="B25" s="26" t="s">
        <v>25</v>
      </c>
      <c r="C25" s="26">
        <v>201730</v>
      </c>
      <c r="D25" s="26" t="s">
        <v>111</v>
      </c>
      <c r="E25" s="26" t="s">
        <v>147</v>
      </c>
      <c r="F25" s="26" t="s">
        <v>148</v>
      </c>
      <c r="G25" s="26">
        <v>6</v>
      </c>
      <c r="H25" s="26">
        <v>179</v>
      </c>
      <c r="I25" s="26">
        <v>179</v>
      </c>
      <c r="J25" s="26">
        <v>181</v>
      </c>
      <c r="K25" s="26">
        <v>179</v>
      </c>
      <c r="L25" s="32">
        <v>0.98895</v>
      </c>
      <c r="M25" s="26">
        <v>179</v>
      </c>
      <c r="N25" s="32">
        <v>0.98895</v>
      </c>
      <c r="O25" s="26">
        <v>3.375</v>
      </c>
      <c r="P25" s="26">
        <v>610.875</v>
      </c>
      <c r="Q25" s="26">
        <v>1.2</v>
      </c>
      <c r="R25" s="26">
        <v>509.06</v>
      </c>
      <c r="S25" s="26">
        <v>17.83</v>
      </c>
      <c r="T25" s="26">
        <v>34.26</v>
      </c>
    </row>
    <row r="26" spans="1:20">
      <c r="A26" s="30" t="s">
        <v>1</v>
      </c>
      <c r="B26" s="30" t="s">
        <v>26</v>
      </c>
      <c r="C26" s="30">
        <v>201810</v>
      </c>
      <c r="D26" s="30" t="s">
        <v>111</v>
      </c>
      <c r="E26" s="30" t="s">
        <v>147</v>
      </c>
      <c r="F26" s="30" t="s">
        <v>150</v>
      </c>
      <c r="G26" s="30">
        <v>1</v>
      </c>
      <c r="H26" s="30">
        <v>28</v>
      </c>
      <c r="I26" s="30">
        <v>41</v>
      </c>
      <c r="J26" s="30">
        <v>44</v>
      </c>
      <c r="K26" s="30">
        <v>28</v>
      </c>
      <c r="L26" s="31">
        <v>0.63636</v>
      </c>
      <c r="M26" s="30">
        <v>41</v>
      </c>
      <c r="N26" s="31">
        <v>0.93182</v>
      </c>
      <c r="O26" s="30">
        <v>3.375</v>
      </c>
      <c r="P26" s="30">
        <v>148.5</v>
      </c>
      <c r="Q26" s="30">
        <v>0.2</v>
      </c>
      <c r="R26" s="30">
        <v>742.5</v>
      </c>
      <c r="S26" s="30">
        <v>3.74</v>
      </c>
      <c r="T26" s="30">
        <v>39.71</v>
      </c>
    </row>
    <row r="27" spans="1:20">
      <c r="A27" s="26" t="s">
        <v>1</v>
      </c>
      <c r="B27" s="26" t="s">
        <v>26</v>
      </c>
      <c r="C27" s="26">
        <v>201810</v>
      </c>
      <c r="D27" s="26" t="s">
        <v>111</v>
      </c>
      <c r="E27" s="26" t="s">
        <v>147</v>
      </c>
      <c r="F27" s="26" t="s">
        <v>149</v>
      </c>
      <c r="G27" s="26">
        <v>2</v>
      </c>
      <c r="H27" s="26">
        <v>65</v>
      </c>
      <c r="I27" s="26">
        <v>79</v>
      </c>
      <c r="J27" s="26">
        <v>86</v>
      </c>
      <c r="K27" s="26">
        <v>65</v>
      </c>
      <c r="L27" s="32">
        <v>0.75581</v>
      </c>
      <c r="M27" s="26">
        <v>79</v>
      </c>
      <c r="N27" s="32">
        <v>0.9186</v>
      </c>
      <c r="O27" s="26">
        <v>3.375</v>
      </c>
      <c r="P27" s="26">
        <v>290.25</v>
      </c>
      <c r="Q27" s="26">
        <v>0.4</v>
      </c>
      <c r="R27" s="26">
        <v>725.63</v>
      </c>
      <c r="S27" s="26">
        <v>8.28</v>
      </c>
      <c r="T27" s="26">
        <v>35.05</v>
      </c>
    </row>
    <row r="28" spans="1:20">
      <c r="A28" s="30" t="s">
        <v>1</v>
      </c>
      <c r="B28" s="30" t="s">
        <v>26</v>
      </c>
      <c r="C28" s="30">
        <v>201810</v>
      </c>
      <c r="D28" s="30" t="s">
        <v>111</v>
      </c>
      <c r="E28" s="30" t="s">
        <v>147</v>
      </c>
      <c r="F28" s="30" t="s">
        <v>148</v>
      </c>
      <c r="G28" s="30">
        <v>9</v>
      </c>
      <c r="H28" s="30">
        <v>369</v>
      </c>
      <c r="I28" s="30">
        <v>430</v>
      </c>
      <c r="J28" s="30">
        <v>448</v>
      </c>
      <c r="K28" s="30">
        <v>369</v>
      </c>
      <c r="L28" s="31">
        <v>0.82366</v>
      </c>
      <c r="M28" s="30">
        <v>430</v>
      </c>
      <c r="N28" s="31">
        <v>0.95982</v>
      </c>
      <c r="O28" s="30">
        <v>3.375</v>
      </c>
      <c r="P28" s="30">
        <v>1512</v>
      </c>
      <c r="Q28" s="30">
        <v>1.8</v>
      </c>
      <c r="R28" s="30">
        <v>840</v>
      </c>
      <c r="S28" s="30">
        <v>43.15</v>
      </c>
      <c r="T28" s="30">
        <v>35.04</v>
      </c>
    </row>
    <row r="29" spans="1:20">
      <c r="A29" s="26" t="s">
        <v>1</v>
      </c>
      <c r="B29" s="26" t="s">
        <v>27</v>
      </c>
      <c r="C29" s="26">
        <v>201815</v>
      </c>
      <c r="D29" s="26" t="s">
        <v>111</v>
      </c>
      <c r="E29" s="26" t="s">
        <v>147</v>
      </c>
      <c r="F29" s="26" t="s">
        <v>148</v>
      </c>
      <c r="G29" s="26">
        <v>2</v>
      </c>
      <c r="H29" s="26">
        <v>65</v>
      </c>
      <c r="I29" s="26">
        <v>71</v>
      </c>
      <c r="J29" s="26">
        <v>74</v>
      </c>
      <c r="K29" s="26">
        <v>65</v>
      </c>
      <c r="L29" s="32">
        <v>0.87838</v>
      </c>
      <c r="M29" s="26">
        <v>71</v>
      </c>
      <c r="N29" s="32">
        <v>0.95946</v>
      </c>
      <c r="O29" s="26">
        <v>3.375</v>
      </c>
      <c r="P29" s="26">
        <v>249.75</v>
      </c>
      <c r="Q29" s="26">
        <v>0.4</v>
      </c>
      <c r="R29" s="26">
        <v>624.38</v>
      </c>
      <c r="S29" s="26">
        <v>7.23</v>
      </c>
      <c r="T29" s="26">
        <v>34.54</v>
      </c>
    </row>
    <row r="30" spans="1:20">
      <c r="A30" s="30" t="s">
        <v>1</v>
      </c>
      <c r="B30" s="30" t="s">
        <v>27</v>
      </c>
      <c r="C30" s="30">
        <v>201815</v>
      </c>
      <c r="D30" s="30" t="s">
        <v>111</v>
      </c>
      <c r="E30" s="30" t="s">
        <v>147</v>
      </c>
      <c r="F30" s="30" t="s">
        <v>150</v>
      </c>
      <c r="G30" s="30">
        <v>1</v>
      </c>
      <c r="H30" s="30">
        <v>50</v>
      </c>
      <c r="I30" s="30">
        <v>53</v>
      </c>
      <c r="J30" s="30">
        <v>56</v>
      </c>
      <c r="K30" s="30">
        <v>50</v>
      </c>
      <c r="L30" s="31">
        <v>0.89286</v>
      </c>
      <c r="M30" s="30">
        <v>53</v>
      </c>
      <c r="N30" s="31">
        <v>0.94643</v>
      </c>
      <c r="O30" s="30">
        <v>3.375</v>
      </c>
      <c r="P30" s="30">
        <v>189</v>
      </c>
      <c r="Q30" s="30">
        <v>0.2</v>
      </c>
      <c r="R30" s="30">
        <v>945</v>
      </c>
      <c r="S30" s="30">
        <v>4.76</v>
      </c>
      <c r="T30" s="30">
        <v>39.71</v>
      </c>
    </row>
    <row r="31" spans="1:20">
      <c r="A31" s="26" t="s">
        <v>1</v>
      </c>
      <c r="B31" s="26" t="s">
        <v>28</v>
      </c>
      <c r="C31" s="26">
        <v>201820</v>
      </c>
      <c r="D31" s="26" t="s">
        <v>111</v>
      </c>
      <c r="E31" s="26" t="s">
        <v>147</v>
      </c>
      <c r="F31" s="26" t="s">
        <v>150</v>
      </c>
      <c r="G31" s="26">
        <v>1</v>
      </c>
      <c r="H31" s="26">
        <v>19</v>
      </c>
      <c r="I31" s="26">
        <v>41</v>
      </c>
      <c r="J31" s="26">
        <v>48</v>
      </c>
      <c r="K31" s="26">
        <v>19</v>
      </c>
      <c r="L31" s="32">
        <v>0.39583</v>
      </c>
      <c r="M31" s="26">
        <v>41</v>
      </c>
      <c r="N31" s="32">
        <v>0.85417</v>
      </c>
      <c r="O31" s="26">
        <v>3.375</v>
      </c>
      <c r="P31" s="26">
        <v>162</v>
      </c>
      <c r="Q31" s="26">
        <v>0.2</v>
      </c>
      <c r="R31" s="26">
        <v>810</v>
      </c>
      <c r="S31" s="26">
        <v>4.08</v>
      </c>
      <c r="T31" s="26">
        <v>39.71</v>
      </c>
    </row>
    <row r="32" spans="1:20">
      <c r="A32" s="30" t="s">
        <v>1</v>
      </c>
      <c r="B32" s="30" t="s">
        <v>28</v>
      </c>
      <c r="C32" s="30">
        <v>201820</v>
      </c>
      <c r="D32" s="30" t="s">
        <v>111</v>
      </c>
      <c r="E32" s="30" t="s">
        <v>147</v>
      </c>
      <c r="F32" s="30" t="s">
        <v>148</v>
      </c>
      <c r="G32" s="30">
        <v>9</v>
      </c>
      <c r="H32" s="30">
        <v>286</v>
      </c>
      <c r="I32" s="30">
        <v>361</v>
      </c>
      <c r="J32" s="30">
        <v>394</v>
      </c>
      <c r="K32" s="30">
        <v>286</v>
      </c>
      <c r="L32" s="31">
        <v>0.72589</v>
      </c>
      <c r="M32" s="30">
        <v>361</v>
      </c>
      <c r="N32" s="31">
        <v>0.91624</v>
      </c>
      <c r="O32" s="30">
        <v>3.375</v>
      </c>
      <c r="P32" s="30">
        <v>1329.75</v>
      </c>
      <c r="Q32" s="30">
        <v>1.8</v>
      </c>
      <c r="R32" s="30">
        <v>738.75</v>
      </c>
      <c r="S32" s="30">
        <v>37.93</v>
      </c>
      <c r="T32" s="30">
        <v>35.06</v>
      </c>
    </row>
    <row r="33" spans="1:20">
      <c r="A33" s="26" t="s">
        <v>1</v>
      </c>
      <c r="B33" s="26" t="s">
        <v>28</v>
      </c>
      <c r="C33" s="26">
        <v>201820</v>
      </c>
      <c r="D33" s="26" t="s">
        <v>111</v>
      </c>
      <c r="E33" s="26" t="s">
        <v>147</v>
      </c>
      <c r="F33" s="26" t="s">
        <v>149</v>
      </c>
      <c r="G33" s="26">
        <v>1</v>
      </c>
      <c r="H33" s="26">
        <v>24</v>
      </c>
      <c r="I33" s="26">
        <v>30</v>
      </c>
      <c r="J33" s="26">
        <v>32</v>
      </c>
      <c r="K33" s="26">
        <v>24</v>
      </c>
      <c r="L33" s="32">
        <v>0.75</v>
      </c>
      <c r="M33" s="26">
        <v>30</v>
      </c>
      <c r="N33" s="32">
        <v>0.9375</v>
      </c>
      <c r="O33" s="26">
        <v>3.375</v>
      </c>
      <c r="P33" s="26">
        <v>108</v>
      </c>
      <c r="Q33" s="26">
        <v>0.2</v>
      </c>
      <c r="R33" s="26">
        <v>540</v>
      </c>
      <c r="S33" s="26">
        <v>3.08</v>
      </c>
      <c r="T33" s="26">
        <v>35.06</v>
      </c>
    </row>
    <row r="34" spans="1:20">
      <c r="A34" s="30" t="s">
        <v>1</v>
      </c>
      <c r="B34" s="30" t="s">
        <v>29</v>
      </c>
      <c r="C34" s="30">
        <v>201830</v>
      </c>
      <c r="D34" s="30" t="s">
        <v>111</v>
      </c>
      <c r="E34" s="30" t="s">
        <v>147</v>
      </c>
      <c r="F34" s="30" t="s">
        <v>148</v>
      </c>
      <c r="G34" s="30">
        <v>3</v>
      </c>
      <c r="H34" s="30">
        <v>108</v>
      </c>
      <c r="I34" s="30">
        <v>112</v>
      </c>
      <c r="J34" s="30">
        <v>113</v>
      </c>
      <c r="K34" s="30">
        <v>108</v>
      </c>
      <c r="L34" s="31">
        <v>0.95575</v>
      </c>
      <c r="M34" s="30">
        <v>112</v>
      </c>
      <c r="N34" s="31">
        <v>0.99115</v>
      </c>
      <c r="O34" s="30">
        <v>3.375</v>
      </c>
      <c r="P34" s="30">
        <v>381.375</v>
      </c>
      <c r="Q34" s="30">
        <v>0.6</v>
      </c>
      <c r="R34" s="30">
        <v>635.63</v>
      </c>
      <c r="S34" s="30">
        <v>10.98</v>
      </c>
      <c r="T34" s="30">
        <v>34.73</v>
      </c>
    </row>
    <row r="35" spans="1:20">
      <c r="A35" s="26" t="s">
        <v>1</v>
      </c>
      <c r="B35" s="26" t="s">
        <v>29</v>
      </c>
      <c r="C35" s="26">
        <v>201830</v>
      </c>
      <c r="D35" s="26" t="s">
        <v>111</v>
      </c>
      <c r="E35" s="26" t="s">
        <v>147</v>
      </c>
      <c r="F35" s="26" t="s">
        <v>150</v>
      </c>
      <c r="G35" s="26">
        <v>1</v>
      </c>
      <c r="H35" s="26">
        <v>63</v>
      </c>
      <c r="I35" s="26">
        <v>70</v>
      </c>
      <c r="J35" s="26">
        <v>75</v>
      </c>
      <c r="K35" s="26">
        <v>63</v>
      </c>
      <c r="L35" s="32">
        <v>0.84</v>
      </c>
      <c r="M35" s="26">
        <v>70</v>
      </c>
      <c r="N35" s="32">
        <v>0.93333</v>
      </c>
      <c r="O35" s="26">
        <v>3.375</v>
      </c>
      <c r="P35" s="26">
        <v>253.125</v>
      </c>
      <c r="Q35" s="26">
        <v>0.2</v>
      </c>
      <c r="R35" s="26">
        <v>1265.63</v>
      </c>
      <c r="S35" s="26">
        <v>6.37</v>
      </c>
      <c r="T35" s="26">
        <v>39.74</v>
      </c>
    </row>
    <row r="36" spans="1:20">
      <c r="A36" s="30" t="s">
        <v>57</v>
      </c>
      <c r="B36" s="30" t="s">
        <v>20</v>
      </c>
      <c r="C36" s="30">
        <v>201620</v>
      </c>
      <c r="D36" s="30" t="s">
        <v>111</v>
      </c>
      <c r="E36" s="30" t="s">
        <v>151</v>
      </c>
      <c r="F36" s="30" t="s">
        <v>149</v>
      </c>
      <c r="G36" s="30">
        <v>1</v>
      </c>
      <c r="H36" s="30">
        <v>19</v>
      </c>
      <c r="I36" s="30">
        <v>19</v>
      </c>
      <c r="J36" s="30">
        <v>22</v>
      </c>
      <c r="K36" s="30">
        <v>19</v>
      </c>
      <c r="L36" s="31">
        <v>0.86364</v>
      </c>
      <c r="M36" s="30">
        <v>19</v>
      </c>
      <c r="N36" s="31">
        <v>0.86364</v>
      </c>
      <c r="O36" s="30">
        <v>3.375</v>
      </c>
      <c r="P36" s="30">
        <v>74.25</v>
      </c>
      <c r="Q36" s="30">
        <v>0.2</v>
      </c>
      <c r="R36" s="30">
        <v>371.25</v>
      </c>
      <c r="S36" s="30">
        <v>2.12</v>
      </c>
      <c r="T36" s="30">
        <v>35.02</v>
      </c>
    </row>
    <row r="37" spans="1:20">
      <c r="A37" s="26" t="s">
        <v>58</v>
      </c>
      <c r="B37" s="26" t="s">
        <v>24</v>
      </c>
      <c r="C37" s="26">
        <v>201720</v>
      </c>
      <c r="D37" s="26" t="s">
        <v>111</v>
      </c>
      <c r="E37" s="26" t="s">
        <v>151</v>
      </c>
      <c r="F37" s="26" t="s">
        <v>149</v>
      </c>
      <c r="G37" s="26">
        <v>1</v>
      </c>
      <c r="H37" s="26">
        <v>11</v>
      </c>
      <c r="I37" s="26">
        <v>13</v>
      </c>
      <c r="J37" s="26">
        <v>16</v>
      </c>
      <c r="K37" s="26">
        <v>11</v>
      </c>
      <c r="L37" s="32">
        <v>0.6875</v>
      </c>
      <c r="M37" s="26">
        <v>13</v>
      </c>
      <c r="N37" s="32">
        <v>0.8125</v>
      </c>
      <c r="O37" s="26">
        <v>3.375</v>
      </c>
      <c r="P37" s="26">
        <v>54</v>
      </c>
      <c r="Q37" s="26">
        <v>0.2</v>
      </c>
      <c r="R37" s="26">
        <v>270</v>
      </c>
      <c r="S37" s="26">
        <v>1.54</v>
      </c>
      <c r="T37" s="26">
        <v>35.06</v>
      </c>
    </row>
    <row r="38" spans="1:20">
      <c r="A38" s="30" t="s">
        <v>1</v>
      </c>
      <c r="B38" s="30" t="s">
        <v>28</v>
      </c>
      <c r="C38" s="30">
        <v>201820</v>
      </c>
      <c r="D38" s="30" t="s">
        <v>111</v>
      </c>
      <c r="E38" s="30" t="s">
        <v>151</v>
      </c>
      <c r="F38" s="30" t="s">
        <v>148</v>
      </c>
      <c r="G38" s="30">
        <v>1</v>
      </c>
      <c r="H38" s="30">
        <v>14</v>
      </c>
      <c r="I38" s="30">
        <v>16</v>
      </c>
      <c r="J38" s="30">
        <v>17</v>
      </c>
      <c r="K38" s="30">
        <v>14</v>
      </c>
      <c r="L38" s="31">
        <v>0.82353</v>
      </c>
      <c r="M38" s="30">
        <v>16</v>
      </c>
      <c r="N38" s="31">
        <v>0.94118</v>
      </c>
      <c r="O38" s="30">
        <v>3.375</v>
      </c>
      <c r="P38" s="30">
        <v>57.375</v>
      </c>
      <c r="Q38" s="30">
        <v>0.2</v>
      </c>
      <c r="R38" s="30">
        <v>286.88</v>
      </c>
      <c r="S38" s="30">
        <v>1.64</v>
      </c>
      <c r="T38" s="30">
        <v>34.98</v>
      </c>
    </row>
    <row r="39" spans="1:20">
      <c r="A39" s="26" t="s">
        <v>57</v>
      </c>
      <c r="B39" s="26" t="s">
        <v>18</v>
      </c>
      <c r="C39" s="26">
        <v>201610</v>
      </c>
      <c r="D39" s="26" t="s">
        <v>111</v>
      </c>
      <c r="E39" s="26" t="s">
        <v>152</v>
      </c>
      <c r="F39" s="26" t="s">
        <v>148</v>
      </c>
      <c r="G39" s="26">
        <v>1</v>
      </c>
      <c r="H39" s="26">
        <v>19</v>
      </c>
      <c r="I39" s="26">
        <v>23</v>
      </c>
      <c r="J39" s="26">
        <v>25</v>
      </c>
      <c r="K39" s="26">
        <v>19</v>
      </c>
      <c r="L39" s="32">
        <v>0.76</v>
      </c>
      <c r="M39" s="26">
        <v>23</v>
      </c>
      <c r="N39" s="32">
        <v>0.92</v>
      </c>
      <c r="O39" s="26">
        <v>3.375</v>
      </c>
      <c r="P39" s="26">
        <v>84.375</v>
      </c>
      <c r="Q39" s="26">
        <v>0.2</v>
      </c>
      <c r="R39" s="26">
        <v>421.88</v>
      </c>
      <c r="S39" s="26">
        <v>2.41</v>
      </c>
      <c r="T39" s="26">
        <v>35.01</v>
      </c>
    </row>
    <row r="40" spans="1:20">
      <c r="A40" s="30" t="s">
        <v>57</v>
      </c>
      <c r="B40" s="30" t="s">
        <v>20</v>
      </c>
      <c r="C40" s="30">
        <v>201620</v>
      </c>
      <c r="D40" s="30" t="s">
        <v>111</v>
      </c>
      <c r="E40" s="30" t="s">
        <v>152</v>
      </c>
      <c r="F40" s="30" t="s">
        <v>148</v>
      </c>
      <c r="G40" s="30">
        <v>1</v>
      </c>
      <c r="H40" s="30">
        <v>22</v>
      </c>
      <c r="I40" s="30">
        <v>27</v>
      </c>
      <c r="J40" s="30">
        <v>27</v>
      </c>
      <c r="K40" s="30">
        <v>22</v>
      </c>
      <c r="L40" s="31">
        <v>0.81481</v>
      </c>
      <c r="M40" s="30">
        <v>27</v>
      </c>
      <c r="N40" s="31">
        <v>1</v>
      </c>
      <c r="O40" s="30">
        <v>3.375</v>
      </c>
      <c r="P40" s="30">
        <v>91.125</v>
      </c>
      <c r="Q40" s="30">
        <v>0.2</v>
      </c>
      <c r="R40" s="30">
        <v>455.63</v>
      </c>
      <c r="S40" s="30">
        <v>2.6</v>
      </c>
      <c r="T40" s="30">
        <v>35.05</v>
      </c>
    </row>
    <row r="41" spans="1:20">
      <c r="A41" s="26" t="s">
        <v>58</v>
      </c>
      <c r="B41" s="26" t="s">
        <v>22</v>
      </c>
      <c r="C41" s="26">
        <v>201710</v>
      </c>
      <c r="D41" s="26" t="s">
        <v>111</v>
      </c>
      <c r="E41" s="26" t="s">
        <v>152</v>
      </c>
      <c r="F41" s="26" t="s">
        <v>148</v>
      </c>
      <c r="G41" s="26">
        <v>1</v>
      </c>
      <c r="H41" s="26">
        <v>16</v>
      </c>
      <c r="I41" s="26">
        <v>21</v>
      </c>
      <c r="J41" s="26">
        <v>26</v>
      </c>
      <c r="K41" s="26">
        <v>16</v>
      </c>
      <c r="L41" s="32">
        <v>0.61538</v>
      </c>
      <c r="M41" s="26">
        <v>21</v>
      </c>
      <c r="N41" s="32">
        <v>0.80769</v>
      </c>
      <c r="O41" s="26">
        <v>3.375</v>
      </c>
      <c r="P41" s="26">
        <v>87.75</v>
      </c>
      <c r="Q41" s="26">
        <v>0.2</v>
      </c>
      <c r="R41" s="26">
        <v>438.75</v>
      </c>
      <c r="S41" s="26">
        <v>2.5</v>
      </c>
      <c r="T41" s="26">
        <v>35.1</v>
      </c>
    </row>
    <row r="42" spans="1:20">
      <c r="A42" s="30" t="s">
        <v>58</v>
      </c>
      <c r="B42" s="30" t="s">
        <v>24</v>
      </c>
      <c r="C42" s="30">
        <v>201720</v>
      </c>
      <c r="D42" s="30" t="s">
        <v>111</v>
      </c>
      <c r="E42" s="30" t="s">
        <v>152</v>
      </c>
      <c r="F42" s="30" t="s">
        <v>148</v>
      </c>
      <c r="G42" s="30">
        <v>1</v>
      </c>
      <c r="H42" s="30">
        <v>15</v>
      </c>
      <c r="I42" s="30">
        <v>15</v>
      </c>
      <c r="J42" s="30">
        <v>23</v>
      </c>
      <c r="K42" s="30">
        <v>15</v>
      </c>
      <c r="L42" s="31">
        <v>0.65217</v>
      </c>
      <c r="M42" s="30">
        <v>15</v>
      </c>
      <c r="N42" s="31">
        <v>0.65217</v>
      </c>
      <c r="O42" s="30">
        <v>3.375</v>
      </c>
      <c r="P42" s="30">
        <v>77.625</v>
      </c>
      <c r="Q42" s="30">
        <v>0.2</v>
      </c>
      <c r="R42" s="30">
        <v>388.13</v>
      </c>
      <c r="S42" s="30">
        <v>2.21</v>
      </c>
      <c r="T42" s="30">
        <v>35.12</v>
      </c>
    </row>
    <row r="43" spans="1:20">
      <c r="A43" s="26" t="s">
        <v>1</v>
      </c>
      <c r="B43" s="26" t="s">
        <v>26</v>
      </c>
      <c r="C43" s="26">
        <v>201810</v>
      </c>
      <c r="D43" s="26" t="s">
        <v>111</v>
      </c>
      <c r="E43" s="26" t="s">
        <v>152</v>
      </c>
      <c r="F43" s="26" t="s">
        <v>148</v>
      </c>
      <c r="G43" s="26">
        <v>1</v>
      </c>
      <c r="H43" s="26">
        <v>20</v>
      </c>
      <c r="I43" s="26">
        <v>27</v>
      </c>
      <c r="J43" s="26">
        <v>29</v>
      </c>
      <c r="K43" s="26">
        <v>20</v>
      </c>
      <c r="L43" s="32">
        <v>0.68966</v>
      </c>
      <c r="M43" s="26">
        <v>27</v>
      </c>
      <c r="N43" s="32">
        <v>0.93103</v>
      </c>
      <c r="O43" s="26">
        <v>3.375</v>
      </c>
      <c r="P43" s="26">
        <v>97.875</v>
      </c>
      <c r="Q43" s="26">
        <v>0.2</v>
      </c>
      <c r="R43" s="26">
        <v>489.38</v>
      </c>
      <c r="S43" s="26">
        <v>2.79</v>
      </c>
      <c r="T43" s="26">
        <v>35.08</v>
      </c>
    </row>
    <row r="44" spans="1:20">
      <c r="A44" s="30" t="s">
        <v>1</v>
      </c>
      <c r="B44" s="30" t="s">
        <v>28</v>
      </c>
      <c r="C44" s="30">
        <v>201820</v>
      </c>
      <c r="D44" s="30" t="s">
        <v>111</v>
      </c>
      <c r="E44" s="30" t="s">
        <v>152</v>
      </c>
      <c r="F44" s="30" t="s">
        <v>148</v>
      </c>
      <c r="G44" s="30">
        <v>2</v>
      </c>
      <c r="H44" s="30">
        <v>41</v>
      </c>
      <c r="I44" s="30">
        <v>41</v>
      </c>
      <c r="J44" s="30">
        <v>49</v>
      </c>
      <c r="K44" s="30">
        <v>41</v>
      </c>
      <c r="L44" s="31">
        <v>0.83673</v>
      </c>
      <c r="M44" s="30">
        <v>41</v>
      </c>
      <c r="N44" s="31">
        <v>0.83673</v>
      </c>
      <c r="O44" s="30">
        <v>3.375</v>
      </c>
      <c r="P44" s="30">
        <v>165.375</v>
      </c>
      <c r="Q44" s="30">
        <v>0.4</v>
      </c>
      <c r="R44" s="30">
        <v>413.44</v>
      </c>
      <c r="S44" s="30">
        <v>4.71</v>
      </c>
      <c r="T44" s="30">
        <v>35.11</v>
      </c>
    </row>
    <row r="45" spans="1:20">
      <c r="A45" s="26" t="s">
        <v>1</v>
      </c>
      <c r="B45" s="26" t="s">
        <v>29</v>
      </c>
      <c r="C45" s="26">
        <v>201830</v>
      </c>
      <c r="D45" s="26" t="s">
        <v>111</v>
      </c>
      <c r="E45" s="26" t="s">
        <v>152</v>
      </c>
      <c r="F45" s="26" t="s">
        <v>149</v>
      </c>
      <c r="G45" s="26">
        <v>1</v>
      </c>
      <c r="H45" s="26">
        <v>24</v>
      </c>
      <c r="I45" s="26">
        <v>24</v>
      </c>
      <c r="J45" s="26">
        <v>26</v>
      </c>
      <c r="K45" s="26">
        <v>24</v>
      </c>
      <c r="L45" s="32">
        <v>0.92308</v>
      </c>
      <c r="M45" s="26">
        <v>24</v>
      </c>
      <c r="N45" s="32">
        <v>0.92308</v>
      </c>
      <c r="O45" s="26">
        <v>3.375</v>
      </c>
      <c r="P45" s="26">
        <v>87.75</v>
      </c>
      <c r="Q45" s="26">
        <v>0.2</v>
      </c>
      <c r="R45" s="26">
        <v>438.75</v>
      </c>
      <c r="S45" s="26">
        <v>2.58</v>
      </c>
      <c r="T45" s="26">
        <v>34.01</v>
      </c>
    </row>
    <row r="46" spans="1:20">
      <c r="A46" s="30" t="s">
        <v>57</v>
      </c>
      <c r="B46" s="30" t="s">
        <v>18</v>
      </c>
      <c r="C46" s="30">
        <v>201610</v>
      </c>
      <c r="D46" s="30" t="s">
        <v>111</v>
      </c>
      <c r="E46" s="30" t="s">
        <v>153</v>
      </c>
      <c r="F46" s="30" t="s">
        <v>148</v>
      </c>
      <c r="G46" s="30">
        <v>1</v>
      </c>
      <c r="H46" s="30">
        <v>18</v>
      </c>
      <c r="I46" s="30">
        <v>22</v>
      </c>
      <c r="J46" s="30">
        <v>23</v>
      </c>
      <c r="K46" s="30">
        <v>18</v>
      </c>
      <c r="L46" s="31">
        <v>0.78261</v>
      </c>
      <c r="M46" s="30">
        <v>22</v>
      </c>
      <c r="N46" s="31">
        <v>0.95652</v>
      </c>
      <c r="O46" s="30">
        <v>3.375</v>
      </c>
      <c r="P46" s="30">
        <v>77.625</v>
      </c>
      <c r="Q46" s="30">
        <v>0.2</v>
      </c>
      <c r="R46" s="30">
        <v>388.13</v>
      </c>
      <c r="S46" s="30">
        <v>2.21</v>
      </c>
      <c r="T46" s="30">
        <v>35.12</v>
      </c>
    </row>
    <row r="47" spans="1:20">
      <c r="A47" s="26" t="s">
        <v>58</v>
      </c>
      <c r="B47" s="26" t="s">
        <v>22</v>
      </c>
      <c r="C47" s="26">
        <v>201710</v>
      </c>
      <c r="D47" s="26" t="s">
        <v>111</v>
      </c>
      <c r="E47" s="26" t="s">
        <v>153</v>
      </c>
      <c r="F47" s="26" t="s">
        <v>148</v>
      </c>
      <c r="G47" s="26">
        <v>1</v>
      </c>
      <c r="H47" s="26">
        <v>6</v>
      </c>
      <c r="I47" s="26">
        <v>18</v>
      </c>
      <c r="J47" s="26">
        <v>19</v>
      </c>
      <c r="K47" s="26">
        <v>6</v>
      </c>
      <c r="L47" s="32">
        <v>0.31579</v>
      </c>
      <c r="M47" s="26">
        <v>18</v>
      </c>
      <c r="N47" s="32">
        <v>0.94737</v>
      </c>
      <c r="O47" s="26">
        <v>3.375</v>
      </c>
      <c r="P47" s="26">
        <v>64.125</v>
      </c>
      <c r="Q47" s="26">
        <v>0.2</v>
      </c>
      <c r="R47" s="26">
        <v>320.63</v>
      </c>
      <c r="S47" s="26">
        <v>1.83</v>
      </c>
      <c r="T47" s="26">
        <v>35.04</v>
      </c>
    </row>
    <row r="48" spans="1:20">
      <c r="A48" s="30" t="s">
        <v>58</v>
      </c>
      <c r="B48" s="30" t="s">
        <v>22</v>
      </c>
      <c r="C48" s="30">
        <v>201710</v>
      </c>
      <c r="D48" s="30" t="s">
        <v>111</v>
      </c>
      <c r="E48" s="30" t="s">
        <v>153</v>
      </c>
      <c r="F48" s="30" t="s">
        <v>149</v>
      </c>
      <c r="G48" s="30">
        <v>1</v>
      </c>
      <c r="H48" s="30">
        <v>12</v>
      </c>
      <c r="I48" s="30">
        <v>13</v>
      </c>
      <c r="J48" s="30">
        <v>13</v>
      </c>
      <c r="K48" s="30">
        <v>12</v>
      </c>
      <c r="L48" s="31">
        <v>0.92308</v>
      </c>
      <c r="M48" s="30">
        <v>13</v>
      </c>
      <c r="N48" s="31">
        <v>1</v>
      </c>
      <c r="O48" s="30">
        <v>3.375</v>
      </c>
      <c r="P48" s="30">
        <v>43.875</v>
      </c>
      <c r="Q48" s="30">
        <v>0.2</v>
      </c>
      <c r="R48" s="30">
        <v>219.38</v>
      </c>
      <c r="S48" s="30">
        <v>1.25</v>
      </c>
      <c r="T48" s="30">
        <v>35.1</v>
      </c>
    </row>
    <row r="49" spans="1:20">
      <c r="A49" s="26" t="s">
        <v>1</v>
      </c>
      <c r="B49" s="26" t="s">
        <v>26</v>
      </c>
      <c r="C49" s="26">
        <v>201810</v>
      </c>
      <c r="D49" s="26" t="s">
        <v>111</v>
      </c>
      <c r="E49" s="26" t="s">
        <v>153</v>
      </c>
      <c r="F49" s="26" t="s">
        <v>148</v>
      </c>
      <c r="G49" s="26">
        <v>1</v>
      </c>
      <c r="H49" s="26">
        <v>17</v>
      </c>
      <c r="I49" s="26">
        <v>21</v>
      </c>
      <c r="J49" s="26">
        <v>23</v>
      </c>
      <c r="K49" s="26">
        <v>17</v>
      </c>
      <c r="L49" s="32">
        <v>0.73913</v>
      </c>
      <c r="M49" s="26">
        <v>21</v>
      </c>
      <c r="N49" s="32">
        <v>0.91304</v>
      </c>
      <c r="O49" s="26">
        <v>3.375</v>
      </c>
      <c r="P49" s="26">
        <v>77.625</v>
      </c>
      <c r="Q49" s="26">
        <v>0.2</v>
      </c>
      <c r="R49" s="26">
        <v>388.13</v>
      </c>
      <c r="S49" s="26">
        <v>2.21</v>
      </c>
      <c r="T49" s="26">
        <v>35.12</v>
      </c>
    </row>
    <row r="50" spans="1:20">
      <c r="A50" s="30" t="s">
        <v>57</v>
      </c>
      <c r="B50" s="30" t="s">
        <v>18</v>
      </c>
      <c r="C50" s="30">
        <v>201610</v>
      </c>
      <c r="D50" s="30" t="s">
        <v>111</v>
      </c>
      <c r="E50" s="30" t="s">
        <v>154</v>
      </c>
      <c r="F50" s="30" t="s">
        <v>148</v>
      </c>
      <c r="G50" s="30">
        <v>3</v>
      </c>
      <c r="H50" s="30">
        <v>53</v>
      </c>
      <c r="I50" s="30">
        <v>70</v>
      </c>
      <c r="J50" s="30">
        <v>84</v>
      </c>
      <c r="K50" s="30">
        <v>53</v>
      </c>
      <c r="L50" s="31">
        <v>0.63095</v>
      </c>
      <c r="M50" s="30">
        <v>70</v>
      </c>
      <c r="N50" s="31">
        <v>0.83333</v>
      </c>
      <c r="O50" s="30">
        <v>3.375</v>
      </c>
      <c r="P50" s="30">
        <v>283.5</v>
      </c>
      <c r="Q50" s="30">
        <v>0.6</v>
      </c>
      <c r="R50" s="30">
        <v>472.5</v>
      </c>
      <c r="S50" s="30">
        <v>8.09</v>
      </c>
      <c r="T50" s="30">
        <v>35.04</v>
      </c>
    </row>
    <row r="51" spans="1:20">
      <c r="A51" s="26" t="s">
        <v>57</v>
      </c>
      <c r="B51" s="26" t="s">
        <v>19</v>
      </c>
      <c r="C51" s="26">
        <v>201615</v>
      </c>
      <c r="D51" s="26" t="s">
        <v>111</v>
      </c>
      <c r="E51" s="26" t="s">
        <v>154</v>
      </c>
      <c r="F51" s="26" t="s">
        <v>148</v>
      </c>
      <c r="G51" s="26">
        <v>1</v>
      </c>
      <c r="H51" s="26">
        <v>24</v>
      </c>
      <c r="I51" s="26">
        <v>26</v>
      </c>
      <c r="J51" s="26">
        <v>29</v>
      </c>
      <c r="K51" s="26">
        <v>24</v>
      </c>
      <c r="L51" s="32">
        <v>0.82759</v>
      </c>
      <c r="M51" s="26">
        <v>26</v>
      </c>
      <c r="N51" s="32">
        <v>0.89655</v>
      </c>
      <c r="O51" s="26">
        <v>3.375</v>
      </c>
      <c r="P51" s="26">
        <v>97.875</v>
      </c>
      <c r="Q51" s="26">
        <v>0.2</v>
      </c>
      <c r="R51" s="26">
        <v>489.38</v>
      </c>
      <c r="S51" s="26">
        <v>2.83</v>
      </c>
      <c r="T51" s="26">
        <v>34.58</v>
      </c>
    </row>
    <row r="52" spans="1:20">
      <c r="A52" s="30" t="s">
        <v>57</v>
      </c>
      <c r="B52" s="30" t="s">
        <v>20</v>
      </c>
      <c r="C52" s="30">
        <v>201620</v>
      </c>
      <c r="D52" s="30" t="s">
        <v>111</v>
      </c>
      <c r="E52" s="30" t="s">
        <v>154</v>
      </c>
      <c r="F52" s="30" t="s">
        <v>148</v>
      </c>
      <c r="G52" s="30">
        <v>2</v>
      </c>
      <c r="H52" s="30">
        <v>64</v>
      </c>
      <c r="I52" s="30">
        <v>74</v>
      </c>
      <c r="J52" s="30">
        <v>80</v>
      </c>
      <c r="K52" s="30">
        <v>64</v>
      </c>
      <c r="L52" s="31">
        <v>0.8</v>
      </c>
      <c r="M52" s="30">
        <v>74</v>
      </c>
      <c r="N52" s="31">
        <v>0.925</v>
      </c>
      <c r="O52" s="30">
        <v>3.375</v>
      </c>
      <c r="P52" s="30">
        <v>270</v>
      </c>
      <c r="Q52" s="30">
        <v>0.47</v>
      </c>
      <c r="R52" s="30">
        <v>574.47</v>
      </c>
      <c r="S52" s="30">
        <v>7.71</v>
      </c>
      <c r="T52" s="30">
        <v>35.02</v>
      </c>
    </row>
    <row r="53" spans="1:20">
      <c r="A53" s="26" t="s">
        <v>57</v>
      </c>
      <c r="B53" s="26" t="s">
        <v>21</v>
      </c>
      <c r="C53" s="26">
        <v>201630</v>
      </c>
      <c r="D53" s="26" t="s">
        <v>111</v>
      </c>
      <c r="E53" s="26" t="s">
        <v>154</v>
      </c>
      <c r="F53" s="26" t="s">
        <v>148</v>
      </c>
      <c r="G53" s="26">
        <v>1</v>
      </c>
      <c r="H53" s="26">
        <v>23</v>
      </c>
      <c r="I53" s="26">
        <v>28</v>
      </c>
      <c r="J53" s="26">
        <v>31</v>
      </c>
      <c r="K53" s="26">
        <v>23</v>
      </c>
      <c r="L53" s="32">
        <v>0.74194</v>
      </c>
      <c r="M53" s="26">
        <v>28</v>
      </c>
      <c r="N53" s="32">
        <v>0.90323</v>
      </c>
      <c r="O53" s="26">
        <v>3.375</v>
      </c>
      <c r="P53" s="26">
        <v>104.625</v>
      </c>
      <c r="Q53" s="26">
        <v>0.2</v>
      </c>
      <c r="R53" s="26">
        <v>523.13</v>
      </c>
      <c r="S53" s="26">
        <v>3.03</v>
      </c>
      <c r="T53" s="26">
        <v>34.53</v>
      </c>
    </row>
    <row r="54" spans="1:20">
      <c r="A54" s="30" t="s">
        <v>58</v>
      </c>
      <c r="B54" s="30" t="s">
        <v>22</v>
      </c>
      <c r="C54" s="30">
        <v>201710</v>
      </c>
      <c r="D54" s="30" t="s">
        <v>111</v>
      </c>
      <c r="E54" s="30" t="s">
        <v>154</v>
      </c>
      <c r="F54" s="30" t="s">
        <v>148</v>
      </c>
      <c r="G54" s="30">
        <v>2</v>
      </c>
      <c r="H54" s="30">
        <v>56</v>
      </c>
      <c r="I54" s="30">
        <v>62</v>
      </c>
      <c r="J54" s="30">
        <v>68</v>
      </c>
      <c r="K54" s="30">
        <v>56</v>
      </c>
      <c r="L54" s="31">
        <v>0.82353</v>
      </c>
      <c r="M54" s="30">
        <v>62</v>
      </c>
      <c r="N54" s="31">
        <v>0.91176</v>
      </c>
      <c r="O54" s="30">
        <v>3.375</v>
      </c>
      <c r="P54" s="30">
        <v>229.5</v>
      </c>
      <c r="Q54" s="30">
        <v>0.4</v>
      </c>
      <c r="R54" s="30">
        <v>573.75</v>
      </c>
      <c r="S54" s="30">
        <v>6.55</v>
      </c>
      <c r="T54" s="30">
        <v>35.04</v>
      </c>
    </row>
    <row r="55" spans="1:20">
      <c r="A55" s="26" t="s">
        <v>58</v>
      </c>
      <c r="B55" s="26" t="s">
        <v>22</v>
      </c>
      <c r="C55" s="26">
        <v>201710</v>
      </c>
      <c r="D55" s="26" t="s">
        <v>111</v>
      </c>
      <c r="E55" s="26" t="s">
        <v>154</v>
      </c>
      <c r="F55" s="26" t="s">
        <v>149</v>
      </c>
      <c r="G55" s="26">
        <v>1</v>
      </c>
      <c r="H55" s="26">
        <v>16</v>
      </c>
      <c r="I55" s="26">
        <v>25</v>
      </c>
      <c r="J55" s="26">
        <v>27</v>
      </c>
      <c r="K55" s="26">
        <v>16</v>
      </c>
      <c r="L55" s="32">
        <v>0.59259</v>
      </c>
      <c r="M55" s="26">
        <v>25</v>
      </c>
      <c r="N55" s="32">
        <v>0.92593</v>
      </c>
      <c r="O55" s="26">
        <v>3.375</v>
      </c>
      <c r="P55" s="26">
        <v>91.125</v>
      </c>
      <c r="Q55" s="26">
        <v>0.2</v>
      </c>
      <c r="R55" s="26">
        <v>455.63</v>
      </c>
      <c r="S55" s="26">
        <v>2.6</v>
      </c>
      <c r="T55" s="26">
        <v>35.05</v>
      </c>
    </row>
    <row r="56" spans="1:20">
      <c r="A56" s="30" t="s">
        <v>58</v>
      </c>
      <c r="B56" s="30" t="s">
        <v>23</v>
      </c>
      <c r="C56" s="30">
        <v>201715</v>
      </c>
      <c r="D56" s="30" t="s">
        <v>111</v>
      </c>
      <c r="E56" s="30" t="s">
        <v>154</v>
      </c>
      <c r="F56" s="30" t="s">
        <v>148</v>
      </c>
      <c r="G56" s="30">
        <v>1</v>
      </c>
      <c r="H56" s="30">
        <v>21</v>
      </c>
      <c r="I56" s="30">
        <v>21</v>
      </c>
      <c r="J56" s="30">
        <v>21</v>
      </c>
      <c r="K56" s="30">
        <v>21</v>
      </c>
      <c r="L56" s="31">
        <v>1</v>
      </c>
      <c r="M56" s="30">
        <v>21</v>
      </c>
      <c r="N56" s="31">
        <v>1</v>
      </c>
      <c r="O56" s="30">
        <v>3.375</v>
      </c>
      <c r="P56" s="30">
        <v>70.875</v>
      </c>
      <c r="Q56" s="30">
        <v>0.2</v>
      </c>
      <c r="R56" s="30">
        <v>354.38</v>
      </c>
      <c r="S56" s="30">
        <v>2.05</v>
      </c>
      <c r="T56" s="30">
        <v>34.57</v>
      </c>
    </row>
    <row r="57" spans="1:20">
      <c r="A57" s="26" t="s">
        <v>58</v>
      </c>
      <c r="B57" s="26" t="s">
        <v>24</v>
      </c>
      <c r="C57" s="26">
        <v>201720</v>
      </c>
      <c r="D57" s="26" t="s">
        <v>111</v>
      </c>
      <c r="E57" s="26" t="s">
        <v>154</v>
      </c>
      <c r="F57" s="26" t="s">
        <v>149</v>
      </c>
      <c r="G57" s="26">
        <v>1</v>
      </c>
      <c r="H57" s="26">
        <v>14</v>
      </c>
      <c r="I57" s="26">
        <v>25</v>
      </c>
      <c r="J57" s="26">
        <v>30</v>
      </c>
      <c r="K57" s="26">
        <v>14</v>
      </c>
      <c r="L57" s="32">
        <v>0.46667</v>
      </c>
      <c r="M57" s="26">
        <v>25</v>
      </c>
      <c r="N57" s="32">
        <v>0.83333</v>
      </c>
      <c r="O57" s="26">
        <v>3.375</v>
      </c>
      <c r="P57" s="26">
        <v>101.25</v>
      </c>
      <c r="Q57" s="26">
        <v>0.2</v>
      </c>
      <c r="R57" s="26">
        <v>506.25</v>
      </c>
      <c r="S57" s="26">
        <v>2.89</v>
      </c>
      <c r="T57" s="26">
        <v>35.03</v>
      </c>
    </row>
    <row r="58" spans="1:20">
      <c r="A58" s="30" t="s">
        <v>58</v>
      </c>
      <c r="B58" s="30" t="s">
        <v>24</v>
      </c>
      <c r="C58" s="30">
        <v>201720</v>
      </c>
      <c r="D58" s="30" t="s">
        <v>111</v>
      </c>
      <c r="E58" s="30" t="s">
        <v>154</v>
      </c>
      <c r="F58" s="30" t="s">
        <v>148</v>
      </c>
      <c r="G58" s="30">
        <v>2</v>
      </c>
      <c r="H58" s="30">
        <v>61</v>
      </c>
      <c r="I58" s="30">
        <v>72</v>
      </c>
      <c r="J58" s="30">
        <v>72</v>
      </c>
      <c r="K58" s="30">
        <v>61</v>
      </c>
      <c r="L58" s="31">
        <v>0.84722</v>
      </c>
      <c r="M58" s="30">
        <v>72</v>
      </c>
      <c r="N58" s="31">
        <v>1</v>
      </c>
      <c r="O58" s="30">
        <v>3.375</v>
      </c>
      <c r="P58" s="30">
        <v>243</v>
      </c>
      <c r="Q58" s="30">
        <v>0.47</v>
      </c>
      <c r="R58" s="30">
        <v>517.02</v>
      </c>
      <c r="S58" s="30">
        <v>6.93</v>
      </c>
      <c r="T58" s="30">
        <v>35.06</v>
      </c>
    </row>
    <row r="59" spans="1:20">
      <c r="A59" s="26" t="s">
        <v>58</v>
      </c>
      <c r="B59" s="26" t="s">
        <v>25</v>
      </c>
      <c r="C59" s="26">
        <v>201730</v>
      </c>
      <c r="D59" s="26" t="s">
        <v>111</v>
      </c>
      <c r="E59" s="26" t="s">
        <v>154</v>
      </c>
      <c r="F59" s="26" t="s">
        <v>148</v>
      </c>
      <c r="G59" s="26">
        <v>1</v>
      </c>
      <c r="H59" s="26">
        <v>26</v>
      </c>
      <c r="I59" s="26">
        <v>30</v>
      </c>
      <c r="J59" s="26">
        <v>30</v>
      </c>
      <c r="K59" s="26">
        <v>26</v>
      </c>
      <c r="L59" s="32">
        <v>0.86667</v>
      </c>
      <c r="M59" s="26">
        <v>30</v>
      </c>
      <c r="N59" s="32">
        <v>1</v>
      </c>
      <c r="O59" s="26">
        <v>3.375</v>
      </c>
      <c r="P59" s="26">
        <v>101.25</v>
      </c>
      <c r="Q59" s="26">
        <v>0.2</v>
      </c>
      <c r="R59" s="26">
        <v>506.25</v>
      </c>
      <c r="S59" s="26">
        <v>2.93</v>
      </c>
      <c r="T59" s="26">
        <v>34.56</v>
      </c>
    </row>
    <row r="60" spans="1:20">
      <c r="A60" s="30" t="s">
        <v>1</v>
      </c>
      <c r="B60" s="30" t="s">
        <v>26</v>
      </c>
      <c r="C60" s="30">
        <v>201810</v>
      </c>
      <c r="D60" s="30" t="s">
        <v>111</v>
      </c>
      <c r="E60" s="30" t="s">
        <v>154</v>
      </c>
      <c r="F60" s="30" t="s">
        <v>148</v>
      </c>
      <c r="G60" s="30">
        <v>5</v>
      </c>
      <c r="H60" s="30">
        <v>127</v>
      </c>
      <c r="I60" s="30">
        <v>137</v>
      </c>
      <c r="J60" s="30">
        <v>141</v>
      </c>
      <c r="K60" s="30">
        <v>127</v>
      </c>
      <c r="L60" s="31">
        <v>0.90071</v>
      </c>
      <c r="M60" s="30">
        <v>137</v>
      </c>
      <c r="N60" s="31">
        <v>0.97163</v>
      </c>
      <c r="O60" s="30">
        <v>3.375</v>
      </c>
      <c r="P60" s="30">
        <v>475.875</v>
      </c>
      <c r="Q60" s="30">
        <v>1</v>
      </c>
      <c r="R60" s="30">
        <v>475.88</v>
      </c>
      <c r="S60" s="30">
        <v>13.57</v>
      </c>
      <c r="T60" s="30">
        <v>35.07</v>
      </c>
    </row>
    <row r="61" spans="1:20">
      <c r="A61" s="26" t="s">
        <v>1</v>
      </c>
      <c r="B61" s="26" t="s">
        <v>27</v>
      </c>
      <c r="C61" s="26">
        <v>201815</v>
      </c>
      <c r="D61" s="26" t="s">
        <v>111</v>
      </c>
      <c r="E61" s="26" t="s">
        <v>154</v>
      </c>
      <c r="F61" s="26" t="s">
        <v>148</v>
      </c>
      <c r="G61" s="26">
        <v>1</v>
      </c>
      <c r="H61" s="26">
        <v>23</v>
      </c>
      <c r="I61" s="26">
        <v>25</v>
      </c>
      <c r="J61" s="26">
        <v>28</v>
      </c>
      <c r="K61" s="26">
        <v>23</v>
      </c>
      <c r="L61" s="32">
        <v>0.82143</v>
      </c>
      <c r="M61" s="26">
        <v>25</v>
      </c>
      <c r="N61" s="32">
        <v>0.89286</v>
      </c>
      <c r="O61" s="26">
        <v>3.375</v>
      </c>
      <c r="P61" s="26">
        <v>94.5</v>
      </c>
      <c r="Q61" s="26">
        <v>0.2</v>
      </c>
      <c r="R61" s="26">
        <v>472.5</v>
      </c>
      <c r="S61" s="26">
        <v>2.74</v>
      </c>
      <c r="T61" s="26">
        <v>34.49</v>
      </c>
    </row>
    <row r="62" spans="1:20">
      <c r="A62" s="30" t="s">
        <v>1</v>
      </c>
      <c r="B62" s="30" t="s">
        <v>28</v>
      </c>
      <c r="C62" s="30">
        <v>201820</v>
      </c>
      <c r="D62" s="30" t="s">
        <v>111</v>
      </c>
      <c r="E62" s="30" t="s">
        <v>154</v>
      </c>
      <c r="F62" s="30" t="s">
        <v>148</v>
      </c>
      <c r="G62" s="30">
        <v>4</v>
      </c>
      <c r="H62" s="30">
        <v>111</v>
      </c>
      <c r="I62" s="30">
        <v>113</v>
      </c>
      <c r="J62" s="30">
        <v>116</v>
      </c>
      <c r="K62" s="30">
        <v>111</v>
      </c>
      <c r="L62" s="31">
        <v>0.9569</v>
      </c>
      <c r="M62" s="30">
        <v>113</v>
      </c>
      <c r="N62" s="31">
        <v>0.97414</v>
      </c>
      <c r="O62" s="30">
        <v>3.375</v>
      </c>
      <c r="P62" s="30">
        <v>391.5</v>
      </c>
      <c r="Q62" s="30">
        <v>0.8</v>
      </c>
      <c r="R62" s="30">
        <v>489.38</v>
      </c>
      <c r="S62" s="30">
        <v>11.16</v>
      </c>
      <c r="T62" s="30">
        <v>35.08</v>
      </c>
    </row>
    <row r="63" spans="1:20">
      <c r="A63" s="26" t="s">
        <v>1</v>
      </c>
      <c r="B63" s="26" t="s">
        <v>28</v>
      </c>
      <c r="C63" s="26">
        <v>201820</v>
      </c>
      <c r="D63" s="26" t="s">
        <v>111</v>
      </c>
      <c r="E63" s="26" t="s">
        <v>154</v>
      </c>
      <c r="F63" s="26" t="s">
        <v>149</v>
      </c>
      <c r="G63" s="26">
        <v>1</v>
      </c>
      <c r="H63" s="26">
        <v>25</v>
      </c>
      <c r="I63" s="26">
        <v>27</v>
      </c>
      <c r="J63" s="26">
        <v>33</v>
      </c>
      <c r="K63" s="26">
        <v>25</v>
      </c>
      <c r="L63" s="32">
        <v>0.75758</v>
      </c>
      <c r="M63" s="26">
        <v>27</v>
      </c>
      <c r="N63" s="32">
        <v>0.81818</v>
      </c>
      <c r="O63" s="26">
        <v>3.375</v>
      </c>
      <c r="P63" s="26">
        <v>111.375</v>
      </c>
      <c r="Q63" s="26">
        <v>0.2</v>
      </c>
      <c r="R63" s="26">
        <v>556.88</v>
      </c>
      <c r="S63" s="26">
        <v>3.18</v>
      </c>
      <c r="T63" s="26">
        <v>35.02</v>
      </c>
    </row>
    <row r="64" spans="1:20">
      <c r="A64" s="30" t="s">
        <v>1</v>
      </c>
      <c r="B64" s="30" t="s">
        <v>29</v>
      </c>
      <c r="C64" s="30">
        <v>201830</v>
      </c>
      <c r="D64" s="30" t="s">
        <v>111</v>
      </c>
      <c r="E64" s="30" t="s">
        <v>154</v>
      </c>
      <c r="F64" s="30" t="s">
        <v>148</v>
      </c>
      <c r="G64" s="30">
        <v>1</v>
      </c>
      <c r="H64" s="30">
        <v>37</v>
      </c>
      <c r="I64" s="30">
        <v>37</v>
      </c>
      <c r="J64" s="30">
        <v>38</v>
      </c>
      <c r="K64" s="30">
        <v>37</v>
      </c>
      <c r="L64" s="31">
        <v>0.97368</v>
      </c>
      <c r="M64" s="30">
        <v>37</v>
      </c>
      <c r="N64" s="31">
        <v>0.97368</v>
      </c>
      <c r="O64" s="30">
        <v>3.375</v>
      </c>
      <c r="P64" s="30">
        <v>128.25</v>
      </c>
      <c r="Q64" s="30">
        <v>0.2</v>
      </c>
      <c r="R64" s="30">
        <v>641.25</v>
      </c>
      <c r="S64" s="30">
        <v>3.71</v>
      </c>
      <c r="T64" s="30">
        <v>34.57</v>
      </c>
    </row>
    <row r="65" spans="1:20">
      <c r="A65" s="26" t="s">
        <v>57</v>
      </c>
      <c r="B65" s="26" t="s">
        <v>18</v>
      </c>
      <c r="C65" s="26">
        <v>201610</v>
      </c>
      <c r="D65" s="26" t="s">
        <v>111</v>
      </c>
      <c r="E65" s="26" t="s">
        <v>155</v>
      </c>
      <c r="F65" s="26" t="s">
        <v>148</v>
      </c>
      <c r="G65" s="26">
        <v>2</v>
      </c>
      <c r="H65" s="26">
        <v>64</v>
      </c>
      <c r="I65" s="26">
        <v>74</v>
      </c>
      <c r="J65" s="26">
        <v>79</v>
      </c>
      <c r="K65" s="26">
        <v>64</v>
      </c>
      <c r="L65" s="32">
        <v>0.81013</v>
      </c>
      <c r="M65" s="26">
        <v>74</v>
      </c>
      <c r="N65" s="32">
        <v>0.93671</v>
      </c>
      <c r="O65" s="26">
        <v>3.375</v>
      </c>
      <c r="P65" s="26">
        <v>266.625</v>
      </c>
      <c r="Q65" s="26">
        <v>0.4</v>
      </c>
      <c r="R65" s="26">
        <v>666.56</v>
      </c>
      <c r="S65" s="26">
        <v>7.61</v>
      </c>
      <c r="T65" s="26">
        <v>35.04</v>
      </c>
    </row>
    <row r="66" spans="1:20">
      <c r="A66" s="30" t="s">
        <v>57</v>
      </c>
      <c r="B66" s="30" t="s">
        <v>20</v>
      </c>
      <c r="C66" s="30">
        <v>201620</v>
      </c>
      <c r="D66" s="30" t="s">
        <v>111</v>
      </c>
      <c r="E66" s="30" t="s">
        <v>155</v>
      </c>
      <c r="F66" s="30" t="s">
        <v>148</v>
      </c>
      <c r="G66" s="30">
        <v>2</v>
      </c>
      <c r="H66" s="30">
        <v>52</v>
      </c>
      <c r="I66" s="30">
        <v>65</v>
      </c>
      <c r="J66" s="30">
        <v>71</v>
      </c>
      <c r="K66" s="30">
        <v>52</v>
      </c>
      <c r="L66" s="31">
        <v>0.73239</v>
      </c>
      <c r="M66" s="30">
        <v>65</v>
      </c>
      <c r="N66" s="31">
        <v>0.91549</v>
      </c>
      <c r="O66" s="30">
        <v>3.375</v>
      </c>
      <c r="P66" s="30">
        <v>239.625</v>
      </c>
      <c r="Q66" s="30">
        <v>0.4</v>
      </c>
      <c r="R66" s="30">
        <v>599.06</v>
      </c>
      <c r="S66" s="30">
        <v>6.84</v>
      </c>
      <c r="T66" s="30">
        <v>35.03</v>
      </c>
    </row>
    <row r="67" spans="1:20">
      <c r="A67" s="26" t="s">
        <v>58</v>
      </c>
      <c r="B67" s="26" t="s">
        <v>22</v>
      </c>
      <c r="C67" s="26">
        <v>201710</v>
      </c>
      <c r="D67" s="26" t="s">
        <v>111</v>
      </c>
      <c r="E67" s="26" t="s">
        <v>155</v>
      </c>
      <c r="F67" s="26" t="s">
        <v>148</v>
      </c>
      <c r="G67" s="26">
        <v>2</v>
      </c>
      <c r="H67" s="26">
        <v>62</v>
      </c>
      <c r="I67" s="26">
        <v>73</v>
      </c>
      <c r="J67" s="26">
        <v>78</v>
      </c>
      <c r="K67" s="26">
        <v>62</v>
      </c>
      <c r="L67" s="32">
        <v>0.79487</v>
      </c>
      <c r="M67" s="26">
        <v>73</v>
      </c>
      <c r="N67" s="32">
        <v>0.9359</v>
      </c>
      <c r="O67" s="26">
        <v>3.375</v>
      </c>
      <c r="P67" s="26">
        <v>263.25</v>
      </c>
      <c r="Q67" s="26">
        <v>0.4</v>
      </c>
      <c r="R67" s="26">
        <v>658.13</v>
      </c>
      <c r="S67" s="26">
        <v>7.51</v>
      </c>
      <c r="T67" s="26">
        <v>35.05</v>
      </c>
    </row>
    <row r="68" spans="1:20">
      <c r="A68" s="30" t="s">
        <v>58</v>
      </c>
      <c r="B68" s="30" t="s">
        <v>24</v>
      </c>
      <c r="C68" s="30">
        <v>201720</v>
      </c>
      <c r="D68" s="30" t="s">
        <v>111</v>
      </c>
      <c r="E68" s="30" t="s">
        <v>155</v>
      </c>
      <c r="F68" s="30" t="s">
        <v>148</v>
      </c>
      <c r="G68" s="30">
        <v>1</v>
      </c>
      <c r="H68" s="30">
        <v>32</v>
      </c>
      <c r="I68" s="30">
        <v>41</v>
      </c>
      <c r="J68" s="30">
        <v>44</v>
      </c>
      <c r="K68" s="30">
        <v>32</v>
      </c>
      <c r="L68" s="31">
        <v>0.72727</v>
      </c>
      <c r="M68" s="30">
        <v>41</v>
      </c>
      <c r="N68" s="31">
        <v>0.93182</v>
      </c>
      <c r="O68" s="30">
        <v>3.375</v>
      </c>
      <c r="P68" s="30">
        <v>148.5</v>
      </c>
      <c r="Q68" s="30">
        <v>0.27</v>
      </c>
      <c r="R68" s="30">
        <v>550</v>
      </c>
      <c r="S68" s="30">
        <v>4.24</v>
      </c>
      <c r="T68" s="30">
        <v>35.02</v>
      </c>
    </row>
    <row r="69" spans="1:20">
      <c r="A69" s="26" t="s">
        <v>58</v>
      </c>
      <c r="B69" s="26" t="s">
        <v>24</v>
      </c>
      <c r="C69" s="26">
        <v>201720</v>
      </c>
      <c r="D69" s="26" t="s">
        <v>111</v>
      </c>
      <c r="E69" s="26" t="s">
        <v>155</v>
      </c>
      <c r="F69" s="26" t="s">
        <v>149</v>
      </c>
      <c r="G69" s="26">
        <v>1</v>
      </c>
      <c r="H69" s="26">
        <v>23</v>
      </c>
      <c r="I69" s="26">
        <v>24</v>
      </c>
      <c r="J69" s="26">
        <v>27</v>
      </c>
      <c r="K69" s="26">
        <v>23</v>
      </c>
      <c r="L69" s="32">
        <v>0.85185</v>
      </c>
      <c r="M69" s="26">
        <v>24</v>
      </c>
      <c r="N69" s="32">
        <v>0.88889</v>
      </c>
      <c r="O69" s="26">
        <v>3.375</v>
      </c>
      <c r="P69" s="26">
        <v>91.125</v>
      </c>
      <c r="Q69" s="26">
        <v>0.2</v>
      </c>
      <c r="R69" s="26">
        <v>455.63</v>
      </c>
      <c r="S69" s="26">
        <v>2.6</v>
      </c>
      <c r="T69" s="26">
        <v>35.05</v>
      </c>
    </row>
    <row r="70" spans="1:20">
      <c r="A70" s="30" t="s">
        <v>1</v>
      </c>
      <c r="B70" s="30" t="s">
        <v>26</v>
      </c>
      <c r="C70" s="30">
        <v>201810</v>
      </c>
      <c r="D70" s="30" t="s">
        <v>111</v>
      </c>
      <c r="E70" s="30" t="s">
        <v>155</v>
      </c>
      <c r="F70" s="30" t="s">
        <v>148</v>
      </c>
      <c r="G70" s="30">
        <v>2</v>
      </c>
      <c r="H70" s="30">
        <v>73</v>
      </c>
      <c r="I70" s="30">
        <v>80</v>
      </c>
      <c r="J70" s="30">
        <v>83</v>
      </c>
      <c r="K70" s="30">
        <v>73</v>
      </c>
      <c r="L70" s="31">
        <v>0.87952</v>
      </c>
      <c r="M70" s="30">
        <v>80</v>
      </c>
      <c r="N70" s="31">
        <v>0.96386</v>
      </c>
      <c r="O70" s="30">
        <v>3.375</v>
      </c>
      <c r="P70" s="30">
        <v>280.125</v>
      </c>
      <c r="Q70" s="30">
        <v>0.4</v>
      </c>
      <c r="R70" s="30">
        <v>700.31</v>
      </c>
      <c r="S70" s="30">
        <v>7.99</v>
      </c>
      <c r="T70" s="30">
        <v>35.06</v>
      </c>
    </row>
    <row r="71" spans="1:20">
      <c r="A71" s="26" t="s">
        <v>1</v>
      </c>
      <c r="B71" s="26" t="s">
        <v>26</v>
      </c>
      <c r="C71" s="26">
        <v>201810</v>
      </c>
      <c r="D71" s="26" t="s">
        <v>111</v>
      </c>
      <c r="E71" s="26" t="s">
        <v>155</v>
      </c>
      <c r="F71" s="26" t="s">
        <v>149</v>
      </c>
      <c r="G71" s="26">
        <v>1</v>
      </c>
      <c r="H71" s="26">
        <v>25</v>
      </c>
      <c r="I71" s="26">
        <v>32</v>
      </c>
      <c r="J71" s="26">
        <v>35</v>
      </c>
      <c r="K71" s="26">
        <v>25</v>
      </c>
      <c r="L71" s="32">
        <v>0.71429</v>
      </c>
      <c r="M71" s="26">
        <v>32</v>
      </c>
      <c r="N71" s="32">
        <v>0.91429</v>
      </c>
      <c r="O71" s="26">
        <v>3.375</v>
      </c>
      <c r="P71" s="26">
        <v>118.125</v>
      </c>
      <c r="Q71" s="26">
        <v>0.2</v>
      </c>
      <c r="R71" s="26">
        <v>590.63</v>
      </c>
      <c r="S71" s="26">
        <v>3.37</v>
      </c>
      <c r="T71" s="26">
        <v>35.05</v>
      </c>
    </row>
    <row r="72" spans="1:20">
      <c r="A72" s="30" t="s">
        <v>1</v>
      </c>
      <c r="B72" s="30" t="s">
        <v>28</v>
      </c>
      <c r="C72" s="30">
        <v>201820</v>
      </c>
      <c r="D72" s="30" t="s">
        <v>111</v>
      </c>
      <c r="E72" s="30" t="s">
        <v>155</v>
      </c>
      <c r="F72" s="30" t="s">
        <v>148</v>
      </c>
      <c r="G72" s="30">
        <v>1</v>
      </c>
      <c r="H72" s="30">
        <v>37</v>
      </c>
      <c r="I72" s="30">
        <v>41</v>
      </c>
      <c r="J72" s="30">
        <v>46</v>
      </c>
      <c r="K72" s="30">
        <v>37</v>
      </c>
      <c r="L72" s="31">
        <v>0.80435</v>
      </c>
      <c r="M72" s="30">
        <v>41</v>
      </c>
      <c r="N72" s="31">
        <v>0.8913</v>
      </c>
      <c r="O72" s="30">
        <v>3.375</v>
      </c>
      <c r="P72" s="30">
        <v>155.25</v>
      </c>
      <c r="Q72" s="30">
        <v>0.2</v>
      </c>
      <c r="R72" s="30">
        <v>776.25</v>
      </c>
      <c r="S72" s="30">
        <v>4.43</v>
      </c>
      <c r="T72" s="30">
        <v>35.05</v>
      </c>
    </row>
    <row r="73" spans="1:20">
      <c r="A73" s="26" t="s">
        <v>1</v>
      </c>
      <c r="B73" s="26" t="s">
        <v>28</v>
      </c>
      <c r="C73" s="26">
        <v>201820</v>
      </c>
      <c r="D73" s="26" t="s">
        <v>111</v>
      </c>
      <c r="E73" s="26" t="s">
        <v>155</v>
      </c>
      <c r="F73" s="26" t="s">
        <v>149</v>
      </c>
      <c r="G73" s="26">
        <v>1</v>
      </c>
      <c r="H73" s="26">
        <v>37</v>
      </c>
      <c r="I73" s="26">
        <v>38</v>
      </c>
      <c r="J73" s="26">
        <v>42</v>
      </c>
      <c r="K73" s="26">
        <v>37</v>
      </c>
      <c r="L73" s="32">
        <v>0.88095</v>
      </c>
      <c r="M73" s="26">
        <v>38</v>
      </c>
      <c r="N73" s="32">
        <v>0.90476</v>
      </c>
      <c r="O73" s="26">
        <v>3.375</v>
      </c>
      <c r="P73" s="26">
        <v>141.75</v>
      </c>
      <c r="Q73" s="26">
        <v>0.2</v>
      </c>
      <c r="R73" s="26">
        <v>708.75</v>
      </c>
      <c r="S73" s="26">
        <v>4.04</v>
      </c>
      <c r="T73" s="26">
        <v>35.09</v>
      </c>
    </row>
    <row r="74" spans="1:20">
      <c r="A74" s="30" t="s">
        <v>57</v>
      </c>
      <c r="B74" s="30" t="s">
        <v>18</v>
      </c>
      <c r="C74" s="30">
        <v>201610</v>
      </c>
      <c r="D74" s="30" t="s">
        <v>111</v>
      </c>
      <c r="E74" s="30" t="s">
        <v>156</v>
      </c>
      <c r="F74" s="30" t="s">
        <v>148</v>
      </c>
      <c r="G74" s="30">
        <v>7</v>
      </c>
      <c r="H74" s="30">
        <v>242</v>
      </c>
      <c r="I74" s="30">
        <v>279</v>
      </c>
      <c r="J74" s="30">
        <v>301</v>
      </c>
      <c r="K74" s="30">
        <v>242</v>
      </c>
      <c r="L74" s="31">
        <v>0.80399</v>
      </c>
      <c r="M74" s="30">
        <v>279</v>
      </c>
      <c r="N74" s="31">
        <v>0.92691</v>
      </c>
      <c r="O74" s="30">
        <v>3.375</v>
      </c>
      <c r="P74" s="30">
        <v>1015.875</v>
      </c>
      <c r="Q74" s="30">
        <v>1.6</v>
      </c>
      <c r="R74" s="30">
        <v>634.92</v>
      </c>
      <c r="S74" s="30">
        <v>28.98</v>
      </c>
      <c r="T74" s="30">
        <v>35.05</v>
      </c>
    </row>
    <row r="75" spans="1:20">
      <c r="A75" s="26" t="s">
        <v>57</v>
      </c>
      <c r="B75" s="26" t="s">
        <v>18</v>
      </c>
      <c r="C75" s="26">
        <v>201610</v>
      </c>
      <c r="D75" s="26" t="s">
        <v>111</v>
      </c>
      <c r="E75" s="26" t="s">
        <v>156</v>
      </c>
      <c r="F75" s="26" t="s">
        <v>149</v>
      </c>
      <c r="G75" s="26">
        <v>2</v>
      </c>
      <c r="H75" s="26">
        <v>40</v>
      </c>
      <c r="I75" s="26">
        <v>60</v>
      </c>
      <c r="J75" s="26">
        <v>71</v>
      </c>
      <c r="K75" s="26">
        <v>40</v>
      </c>
      <c r="L75" s="32">
        <v>0.56338</v>
      </c>
      <c r="M75" s="26">
        <v>60</v>
      </c>
      <c r="N75" s="32">
        <v>0.84507</v>
      </c>
      <c r="O75" s="26">
        <v>3.375</v>
      </c>
      <c r="P75" s="26">
        <v>239.625</v>
      </c>
      <c r="Q75" s="26">
        <v>0.4</v>
      </c>
      <c r="R75" s="26">
        <v>599.06</v>
      </c>
      <c r="S75" s="26">
        <v>6.84</v>
      </c>
      <c r="T75" s="26">
        <v>35.03</v>
      </c>
    </row>
    <row r="76" spans="1:20">
      <c r="A76" s="30" t="s">
        <v>57</v>
      </c>
      <c r="B76" s="30" t="s">
        <v>19</v>
      </c>
      <c r="C76" s="30">
        <v>201615</v>
      </c>
      <c r="D76" s="30" t="s">
        <v>111</v>
      </c>
      <c r="E76" s="30" t="s">
        <v>156</v>
      </c>
      <c r="F76" s="30" t="s">
        <v>148</v>
      </c>
      <c r="G76" s="30">
        <v>2</v>
      </c>
      <c r="H76" s="30">
        <v>57</v>
      </c>
      <c r="I76" s="30">
        <v>58</v>
      </c>
      <c r="J76" s="30">
        <v>59</v>
      </c>
      <c r="K76" s="30">
        <v>57</v>
      </c>
      <c r="L76" s="31">
        <v>0.9661</v>
      </c>
      <c r="M76" s="30">
        <v>58</v>
      </c>
      <c r="N76" s="31">
        <v>0.98305</v>
      </c>
      <c r="O76" s="30">
        <v>3.375</v>
      </c>
      <c r="P76" s="30">
        <v>199.125</v>
      </c>
      <c r="Q76" s="30">
        <v>0.4</v>
      </c>
      <c r="R76" s="30">
        <v>497.81</v>
      </c>
      <c r="S76" s="30">
        <v>5.76</v>
      </c>
      <c r="T76" s="30">
        <v>34.57</v>
      </c>
    </row>
    <row r="77" spans="1:20">
      <c r="A77" s="26" t="s">
        <v>57</v>
      </c>
      <c r="B77" s="26" t="s">
        <v>20</v>
      </c>
      <c r="C77" s="26">
        <v>201620</v>
      </c>
      <c r="D77" s="26" t="s">
        <v>111</v>
      </c>
      <c r="E77" s="26" t="s">
        <v>156</v>
      </c>
      <c r="F77" s="26" t="s">
        <v>148</v>
      </c>
      <c r="G77" s="26">
        <v>7</v>
      </c>
      <c r="H77" s="26">
        <v>181</v>
      </c>
      <c r="I77" s="26">
        <v>221</v>
      </c>
      <c r="J77" s="26">
        <v>243</v>
      </c>
      <c r="K77" s="26">
        <v>181</v>
      </c>
      <c r="L77" s="32">
        <v>0.74486</v>
      </c>
      <c r="M77" s="26">
        <v>221</v>
      </c>
      <c r="N77" s="32">
        <v>0.90947</v>
      </c>
      <c r="O77" s="26">
        <v>3.375</v>
      </c>
      <c r="P77" s="26">
        <v>820.125</v>
      </c>
      <c r="Q77" s="26">
        <v>1.6</v>
      </c>
      <c r="R77" s="26">
        <v>512.58</v>
      </c>
      <c r="S77" s="26">
        <v>23.4</v>
      </c>
      <c r="T77" s="26">
        <v>35.05</v>
      </c>
    </row>
    <row r="78" spans="1:20">
      <c r="A78" s="30" t="s">
        <v>57</v>
      </c>
      <c r="B78" s="30" t="s">
        <v>20</v>
      </c>
      <c r="C78" s="30">
        <v>201620</v>
      </c>
      <c r="D78" s="30" t="s">
        <v>111</v>
      </c>
      <c r="E78" s="30" t="s">
        <v>156</v>
      </c>
      <c r="F78" s="30" t="s">
        <v>149</v>
      </c>
      <c r="G78" s="30">
        <v>2</v>
      </c>
      <c r="H78" s="30">
        <v>33</v>
      </c>
      <c r="I78" s="30">
        <v>41</v>
      </c>
      <c r="J78" s="30">
        <v>49</v>
      </c>
      <c r="K78" s="30">
        <v>33</v>
      </c>
      <c r="L78" s="31">
        <v>0.67347</v>
      </c>
      <c r="M78" s="30">
        <v>41</v>
      </c>
      <c r="N78" s="31">
        <v>0.83673</v>
      </c>
      <c r="O78" s="30">
        <v>3.375</v>
      </c>
      <c r="P78" s="30">
        <v>165.375</v>
      </c>
      <c r="Q78" s="30">
        <v>0.4</v>
      </c>
      <c r="R78" s="30">
        <v>413.44</v>
      </c>
      <c r="S78" s="30">
        <v>4.72</v>
      </c>
      <c r="T78" s="30">
        <v>35.04</v>
      </c>
    </row>
    <row r="79" spans="1:20">
      <c r="A79" s="26" t="s">
        <v>57</v>
      </c>
      <c r="B79" s="26" t="s">
        <v>21</v>
      </c>
      <c r="C79" s="26">
        <v>201630</v>
      </c>
      <c r="D79" s="26" t="s">
        <v>111</v>
      </c>
      <c r="E79" s="26" t="s">
        <v>156</v>
      </c>
      <c r="F79" s="26" t="s">
        <v>149</v>
      </c>
      <c r="G79" s="26">
        <v>1</v>
      </c>
      <c r="H79" s="26">
        <v>28</v>
      </c>
      <c r="I79" s="26">
        <v>28</v>
      </c>
      <c r="J79" s="26">
        <v>29</v>
      </c>
      <c r="K79" s="26">
        <v>28</v>
      </c>
      <c r="L79" s="32">
        <v>0.96552</v>
      </c>
      <c r="M79" s="26">
        <v>28</v>
      </c>
      <c r="N79" s="32">
        <v>0.96552</v>
      </c>
      <c r="O79" s="26">
        <v>3.375</v>
      </c>
      <c r="P79" s="26">
        <v>97.875</v>
      </c>
      <c r="Q79" s="26">
        <v>0.2</v>
      </c>
      <c r="R79" s="26">
        <v>489.38</v>
      </c>
      <c r="S79" s="26">
        <v>2.83</v>
      </c>
      <c r="T79" s="26">
        <v>34.58</v>
      </c>
    </row>
    <row r="80" spans="1:20">
      <c r="A80" s="30" t="s">
        <v>57</v>
      </c>
      <c r="B80" s="30" t="s">
        <v>21</v>
      </c>
      <c r="C80" s="30">
        <v>201630</v>
      </c>
      <c r="D80" s="30" t="s">
        <v>111</v>
      </c>
      <c r="E80" s="30" t="s">
        <v>156</v>
      </c>
      <c r="F80" s="30" t="s">
        <v>148</v>
      </c>
      <c r="G80" s="30">
        <v>2</v>
      </c>
      <c r="H80" s="30">
        <v>48</v>
      </c>
      <c r="I80" s="30">
        <v>49</v>
      </c>
      <c r="J80" s="30">
        <v>49</v>
      </c>
      <c r="K80" s="30">
        <v>48</v>
      </c>
      <c r="L80" s="31">
        <v>0.97959</v>
      </c>
      <c r="M80" s="30">
        <v>49</v>
      </c>
      <c r="N80" s="31">
        <v>1</v>
      </c>
      <c r="O80" s="30">
        <v>3.375</v>
      </c>
      <c r="P80" s="30">
        <v>165.375</v>
      </c>
      <c r="Q80" s="30">
        <v>0.4</v>
      </c>
      <c r="R80" s="30">
        <v>413.44</v>
      </c>
      <c r="S80" s="30">
        <v>4.79</v>
      </c>
      <c r="T80" s="30">
        <v>34.53</v>
      </c>
    </row>
    <row r="81" spans="1:20">
      <c r="A81" s="26" t="s">
        <v>58</v>
      </c>
      <c r="B81" s="26" t="s">
        <v>22</v>
      </c>
      <c r="C81" s="26">
        <v>201710</v>
      </c>
      <c r="D81" s="26" t="s">
        <v>111</v>
      </c>
      <c r="E81" s="26" t="s">
        <v>156</v>
      </c>
      <c r="F81" s="26" t="s">
        <v>149</v>
      </c>
      <c r="G81" s="26">
        <v>2</v>
      </c>
      <c r="H81" s="26">
        <v>65</v>
      </c>
      <c r="I81" s="26">
        <v>71</v>
      </c>
      <c r="J81" s="26">
        <v>75</v>
      </c>
      <c r="K81" s="26">
        <v>65</v>
      </c>
      <c r="L81" s="32">
        <v>0.86667</v>
      </c>
      <c r="M81" s="26">
        <v>71</v>
      </c>
      <c r="N81" s="32">
        <v>0.94667</v>
      </c>
      <c r="O81" s="26">
        <v>3.375</v>
      </c>
      <c r="P81" s="26">
        <v>253.125</v>
      </c>
      <c r="Q81" s="26">
        <v>0.4</v>
      </c>
      <c r="R81" s="26">
        <v>632.81</v>
      </c>
      <c r="S81" s="26">
        <v>7.23</v>
      </c>
      <c r="T81" s="26">
        <v>35.01</v>
      </c>
    </row>
    <row r="82" spans="1:20">
      <c r="A82" s="30" t="s">
        <v>58</v>
      </c>
      <c r="B82" s="30" t="s">
        <v>22</v>
      </c>
      <c r="C82" s="30">
        <v>201710</v>
      </c>
      <c r="D82" s="30" t="s">
        <v>111</v>
      </c>
      <c r="E82" s="30" t="s">
        <v>156</v>
      </c>
      <c r="F82" s="30" t="s">
        <v>148</v>
      </c>
      <c r="G82" s="30">
        <v>5</v>
      </c>
      <c r="H82" s="30">
        <v>175</v>
      </c>
      <c r="I82" s="30">
        <v>209</v>
      </c>
      <c r="J82" s="30">
        <v>227</v>
      </c>
      <c r="K82" s="30">
        <v>175</v>
      </c>
      <c r="L82" s="31">
        <v>0.77093</v>
      </c>
      <c r="M82" s="30">
        <v>209</v>
      </c>
      <c r="N82" s="31">
        <v>0.9207</v>
      </c>
      <c r="O82" s="30">
        <v>3.375</v>
      </c>
      <c r="P82" s="30">
        <v>766.125</v>
      </c>
      <c r="Q82" s="30">
        <v>1.2</v>
      </c>
      <c r="R82" s="30">
        <v>638.44</v>
      </c>
      <c r="S82" s="30">
        <v>21.86</v>
      </c>
      <c r="T82" s="30">
        <v>35.05</v>
      </c>
    </row>
    <row r="83" spans="1:20">
      <c r="A83" s="26" t="s">
        <v>58</v>
      </c>
      <c r="B83" s="26" t="s">
        <v>23</v>
      </c>
      <c r="C83" s="26">
        <v>201715</v>
      </c>
      <c r="D83" s="26" t="s">
        <v>111</v>
      </c>
      <c r="E83" s="26" t="s">
        <v>156</v>
      </c>
      <c r="F83" s="26" t="s">
        <v>148</v>
      </c>
      <c r="G83" s="26">
        <v>2</v>
      </c>
      <c r="H83" s="26">
        <v>48</v>
      </c>
      <c r="I83" s="26">
        <v>50</v>
      </c>
      <c r="J83" s="26">
        <v>51</v>
      </c>
      <c r="K83" s="26">
        <v>48</v>
      </c>
      <c r="L83" s="32">
        <v>0.94118</v>
      </c>
      <c r="M83" s="26">
        <v>50</v>
      </c>
      <c r="N83" s="32">
        <v>0.98039</v>
      </c>
      <c r="O83" s="26">
        <v>3.375</v>
      </c>
      <c r="P83" s="26">
        <v>172.125</v>
      </c>
      <c r="Q83" s="26">
        <v>0.4</v>
      </c>
      <c r="R83" s="26">
        <v>430.31</v>
      </c>
      <c r="S83" s="26">
        <v>4.98</v>
      </c>
      <c r="T83" s="26">
        <v>34.56</v>
      </c>
    </row>
    <row r="84" spans="1:20">
      <c r="A84" s="30" t="s">
        <v>58</v>
      </c>
      <c r="B84" s="30" t="s">
        <v>24</v>
      </c>
      <c r="C84" s="30">
        <v>201720</v>
      </c>
      <c r="D84" s="30" t="s">
        <v>111</v>
      </c>
      <c r="E84" s="30" t="s">
        <v>156</v>
      </c>
      <c r="F84" s="30" t="s">
        <v>149</v>
      </c>
      <c r="G84" s="30">
        <v>3</v>
      </c>
      <c r="H84" s="30">
        <v>51</v>
      </c>
      <c r="I84" s="30">
        <v>77</v>
      </c>
      <c r="J84" s="30">
        <v>86</v>
      </c>
      <c r="K84" s="30">
        <v>51</v>
      </c>
      <c r="L84" s="31">
        <v>0.59302</v>
      </c>
      <c r="M84" s="30">
        <v>77</v>
      </c>
      <c r="N84" s="31">
        <v>0.89535</v>
      </c>
      <c r="O84" s="30">
        <v>3.375</v>
      </c>
      <c r="P84" s="30">
        <v>290.25</v>
      </c>
      <c r="Q84" s="30">
        <v>0.6</v>
      </c>
      <c r="R84" s="30">
        <v>483.75</v>
      </c>
      <c r="S84" s="30">
        <v>8.29</v>
      </c>
      <c r="T84" s="30">
        <v>35.01</v>
      </c>
    </row>
    <row r="85" spans="1:20">
      <c r="A85" s="26" t="s">
        <v>58</v>
      </c>
      <c r="B85" s="26" t="s">
        <v>24</v>
      </c>
      <c r="C85" s="26">
        <v>201720</v>
      </c>
      <c r="D85" s="26" t="s">
        <v>111</v>
      </c>
      <c r="E85" s="26" t="s">
        <v>156</v>
      </c>
      <c r="F85" s="26" t="s">
        <v>148</v>
      </c>
      <c r="G85" s="26">
        <v>5</v>
      </c>
      <c r="H85" s="26">
        <v>168</v>
      </c>
      <c r="I85" s="26">
        <v>190</v>
      </c>
      <c r="J85" s="26">
        <v>198</v>
      </c>
      <c r="K85" s="26">
        <v>168</v>
      </c>
      <c r="L85" s="32">
        <v>0.84848</v>
      </c>
      <c r="M85" s="26">
        <v>190</v>
      </c>
      <c r="N85" s="32">
        <v>0.9596</v>
      </c>
      <c r="O85" s="26">
        <v>3.375</v>
      </c>
      <c r="P85" s="26">
        <v>668.25</v>
      </c>
      <c r="Q85" s="26">
        <v>1.13</v>
      </c>
      <c r="R85" s="26">
        <v>591.37</v>
      </c>
      <c r="S85" s="26">
        <v>19.06</v>
      </c>
      <c r="T85" s="26">
        <v>35.06</v>
      </c>
    </row>
    <row r="86" spans="1:20">
      <c r="A86" s="30" t="s">
        <v>58</v>
      </c>
      <c r="B86" s="30" t="s">
        <v>25</v>
      </c>
      <c r="C86" s="30">
        <v>201730</v>
      </c>
      <c r="D86" s="30" t="s">
        <v>111</v>
      </c>
      <c r="E86" s="30" t="s">
        <v>156</v>
      </c>
      <c r="F86" s="30" t="s">
        <v>148</v>
      </c>
      <c r="G86" s="30">
        <v>1</v>
      </c>
      <c r="H86" s="30">
        <v>50</v>
      </c>
      <c r="I86" s="30">
        <v>50</v>
      </c>
      <c r="J86" s="30">
        <v>51</v>
      </c>
      <c r="K86" s="30">
        <v>50</v>
      </c>
      <c r="L86" s="31">
        <v>0.98039</v>
      </c>
      <c r="M86" s="30">
        <v>50</v>
      </c>
      <c r="N86" s="31">
        <v>0.98039</v>
      </c>
      <c r="O86" s="30">
        <v>3.375</v>
      </c>
      <c r="P86" s="30">
        <v>172.125</v>
      </c>
      <c r="Q86" s="30">
        <v>0.33</v>
      </c>
      <c r="R86" s="30">
        <v>521.59</v>
      </c>
      <c r="S86" s="30">
        <v>4.98</v>
      </c>
      <c r="T86" s="30">
        <v>34.56</v>
      </c>
    </row>
    <row r="87" spans="1:20">
      <c r="A87" s="26" t="s">
        <v>58</v>
      </c>
      <c r="B87" s="26" t="s">
        <v>25</v>
      </c>
      <c r="C87" s="26">
        <v>201730</v>
      </c>
      <c r="D87" s="26" t="s">
        <v>111</v>
      </c>
      <c r="E87" s="26" t="s">
        <v>156</v>
      </c>
      <c r="F87" s="26" t="s">
        <v>149</v>
      </c>
      <c r="G87" s="26">
        <v>1</v>
      </c>
      <c r="H87" s="26">
        <v>23</v>
      </c>
      <c r="I87" s="26">
        <v>23</v>
      </c>
      <c r="J87" s="26">
        <v>24</v>
      </c>
      <c r="K87" s="26">
        <v>23</v>
      </c>
      <c r="L87" s="32">
        <v>0.95833</v>
      </c>
      <c r="M87" s="26">
        <v>23</v>
      </c>
      <c r="N87" s="32">
        <v>0.95833</v>
      </c>
      <c r="O87" s="26">
        <v>3.375</v>
      </c>
      <c r="P87" s="26">
        <v>81</v>
      </c>
      <c r="Q87" s="26">
        <v>0.2</v>
      </c>
      <c r="R87" s="26">
        <v>405</v>
      </c>
      <c r="S87" s="26">
        <v>2.34</v>
      </c>
      <c r="T87" s="26">
        <v>34.62</v>
      </c>
    </row>
    <row r="88" spans="1:20">
      <c r="A88" s="30" t="s">
        <v>1</v>
      </c>
      <c r="B88" s="30" t="s">
        <v>26</v>
      </c>
      <c r="C88" s="30">
        <v>201810</v>
      </c>
      <c r="D88" s="30" t="s">
        <v>111</v>
      </c>
      <c r="E88" s="30" t="s">
        <v>156</v>
      </c>
      <c r="F88" s="30" t="s">
        <v>149</v>
      </c>
      <c r="G88" s="30">
        <v>2</v>
      </c>
      <c r="H88" s="30">
        <v>69</v>
      </c>
      <c r="I88" s="30">
        <v>72</v>
      </c>
      <c r="J88" s="30">
        <v>76</v>
      </c>
      <c r="K88" s="30">
        <v>69</v>
      </c>
      <c r="L88" s="31">
        <v>0.90789</v>
      </c>
      <c r="M88" s="30">
        <v>72</v>
      </c>
      <c r="N88" s="31">
        <v>0.94737</v>
      </c>
      <c r="O88" s="30">
        <v>3.375</v>
      </c>
      <c r="P88" s="30">
        <v>256.5</v>
      </c>
      <c r="Q88" s="30">
        <v>0.4</v>
      </c>
      <c r="R88" s="30">
        <v>641.25</v>
      </c>
      <c r="S88" s="30">
        <v>7.32</v>
      </c>
      <c r="T88" s="30">
        <v>35.04</v>
      </c>
    </row>
    <row r="89" spans="1:20">
      <c r="A89" s="26" t="s">
        <v>1</v>
      </c>
      <c r="B89" s="26" t="s">
        <v>26</v>
      </c>
      <c r="C89" s="26">
        <v>201810</v>
      </c>
      <c r="D89" s="26" t="s">
        <v>111</v>
      </c>
      <c r="E89" s="26" t="s">
        <v>156</v>
      </c>
      <c r="F89" s="26" t="s">
        <v>148</v>
      </c>
      <c r="G89" s="26">
        <v>4</v>
      </c>
      <c r="H89" s="26">
        <v>158</v>
      </c>
      <c r="I89" s="26">
        <v>188</v>
      </c>
      <c r="J89" s="26">
        <v>208</v>
      </c>
      <c r="K89" s="26">
        <v>158</v>
      </c>
      <c r="L89" s="32">
        <v>0.75962</v>
      </c>
      <c r="M89" s="26">
        <v>188</v>
      </c>
      <c r="N89" s="32">
        <v>0.90385</v>
      </c>
      <c r="O89" s="26">
        <v>3.375</v>
      </c>
      <c r="P89" s="26">
        <v>702</v>
      </c>
      <c r="Q89" s="26">
        <v>0.8</v>
      </c>
      <c r="R89" s="26">
        <v>877.5</v>
      </c>
      <c r="S89" s="26">
        <v>20.03</v>
      </c>
      <c r="T89" s="26">
        <v>35.05</v>
      </c>
    </row>
    <row r="90" spans="1:20">
      <c r="A90" s="30" t="s">
        <v>1</v>
      </c>
      <c r="B90" s="30" t="s">
        <v>27</v>
      </c>
      <c r="C90" s="30">
        <v>201815</v>
      </c>
      <c r="D90" s="30" t="s">
        <v>111</v>
      </c>
      <c r="E90" s="30" t="s">
        <v>156</v>
      </c>
      <c r="F90" s="30" t="s">
        <v>148</v>
      </c>
      <c r="G90" s="30">
        <v>1</v>
      </c>
      <c r="H90" s="30">
        <v>44</v>
      </c>
      <c r="I90" s="30">
        <v>44</v>
      </c>
      <c r="J90" s="30">
        <v>44</v>
      </c>
      <c r="K90" s="30">
        <v>44</v>
      </c>
      <c r="L90" s="31">
        <v>1</v>
      </c>
      <c r="M90" s="30">
        <v>44</v>
      </c>
      <c r="N90" s="31">
        <v>1</v>
      </c>
      <c r="O90" s="30">
        <v>3.375</v>
      </c>
      <c r="P90" s="30">
        <v>148.5</v>
      </c>
      <c r="Q90" s="30">
        <v>0.2</v>
      </c>
      <c r="R90" s="30">
        <v>742.5</v>
      </c>
      <c r="S90" s="30">
        <v>4.3</v>
      </c>
      <c r="T90" s="30">
        <v>34.53</v>
      </c>
    </row>
    <row r="91" spans="1:20">
      <c r="A91" s="26" t="s">
        <v>1</v>
      </c>
      <c r="B91" s="26" t="s">
        <v>28</v>
      </c>
      <c r="C91" s="26">
        <v>201820</v>
      </c>
      <c r="D91" s="26" t="s">
        <v>111</v>
      </c>
      <c r="E91" s="26" t="s">
        <v>156</v>
      </c>
      <c r="F91" s="26" t="s">
        <v>149</v>
      </c>
      <c r="G91" s="26">
        <v>1</v>
      </c>
      <c r="H91" s="26">
        <v>29</v>
      </c>
      <c r="I91" s="26">
        <v>29</v>
      </c>
      <c r="J91" s="26">
        <v>35</v>
      </c>
      <c r="K91" s="26">
        <v>29</v>
      </c>
      <c r="L91" s="32">
        <v>0.82857</v>
      </c>
      <c r="M91" s="26">
        <v>29</v>
      </c>
      <c r="N91" s="32">
        <v>0.82857</v>
      </c>
      <c r="O91" s="26">
        <v>3.375</v>
      </c>
      <c r="P91" s="26">
        <v>118.125</v>
      </c>
      <c r="Q91" s="26">
        <v>0.2</v>
      </c>
      <c r="R91" s="26">
        <v>590.63</v>
      </c>
      <c r="S91" s="26">
        <v>3.37</v>
      </c>
      <c r="T91" s="26">
        <v>35.05</v>
      </c>
    </row>
    <row r="92" spans="1:20">
      <c r="A92" s="30" t="s">
        <v>1</v>
      </c>
      <c r="B92" s="30" t="s">
        <v>28</v>
      </c>
      <c r="C92" s="30">
        <v>201820</v>
      </c>
      <c r="D92" s="30" t="s">
        <v>111</v>
      </c>
      <c r="E92" s="30" t="s">
        <v>156</v>
      </c>
      <c r="F92" s="30" t="s">
        <v>150</v>
      </c>
      <c r="G92" s="30">
        <v>1</v>
      </c>
      <c r="H92" s="30">
        <v>29</v>
      </c>
      <c r="I92" s="30">
        <v>35</v>
      </c>
      <c r="J92" s="30">
        <v>36</v>
      </c>
      <c r="K92" s="30">
        <v>29</v>
      </c>
      <c r="L92" s="31">
        <v>0.80556</v>
      </c>
      <c r="M92" s="30">
        <v>35</v>
      </c>
      <c r="N92" s="31">
        <v>0.97222</v>
      </c>
      <c r="O92" s="30">
        <v>3.375</v>
      </c>
      <c r="P92" s="30">
        <v>121.5</v>
      </c>
      <c r="Q92" s="30">
        <v>0.2</v>
      </c>
      <c r="R92" s="30">
        <v>607.5</v>
      </c>
      <c r="S92" s="30">
        <v>3.06</v>
      </c>
      <c r="T92" s="30">
        <v>39.71</v>
      </c>
    </row>
    <row r="93" spans="1:20">
      <c r="A93" s="26" t="s">
        <v>1</v>
      </c>
      <c r="B93" s="26" t="s">
        <v>28</v>
      </c>
      <c r="C93" s="26">
        <v>201820</v>
      </c>
      <c r="D93" s="26" t="s">
        <v>111</v>
      </c>
      <c r="E93" s="26" t="s">
        <v>156</v>
      </c>
      <c r="F93" s="26" t="s">
        <v>148</v>
      </c>
      <c r="G93" s="26">
        <v>5</v>
      </c>
      <c r="H93" s="26">
        <v>197</v>
      </c>
      <c r="I93" s="26">
        <v>228</v>
      </c>
      <c r="J93" s="26">
        <v>240</v>
      </c>
      <c r="K93" s="26">
        <v>197</v>
      </c>
      <c r="L93" s="32">
        <v>0.82083</v>
      </c>
      <c r="M93" s="26">
        <v>228</v>
      </c>
      <c r="N93" s="32">
        <v>0.95</v>
      </c>
      <c r="O93" s="26">
        <v>3.375</v>
      </c>
      <c r="P93" s="26">
        <v>810</v>
      </c>
      <c r="Q93" s="26">
        <v>1</v>
      </c>
      <c r="R93" s="26">
        <v>810</v>
      </c>
      <c r="S93" s="26">
        <v>23.11</v>
      </c>
      <c r="T93" s="26">
        <v>35.05</v>
      </c>
    </row>
    <row r="94" spans="1:20">
      <c r="A94" s="30" t="s">
        <v>1</v>
      </c>
      <c r="B94" s="30" t="s">
        <v>29</v>
      </c>
      <c r="C94" s="30">
        <v>201830</v>
      </c>
      <c r="D94" s="30" t="s">
        <v>111</v>
      </c>
      <c r="E94" s="30" t="s">
        <v>156</v>
      </c>
      <c r="F94" s="30" t="s">
        <v>148</v>
      </c>
      <c r="G94" s="30">
        <v>2</v>
      </c>
      <c r="H94" s="30">
        <v>63</v>
      </c>
      <c r="I94" s="30">
        <v>64</v>
      </c>
      <c r="J94" s="30">
        <v>65</v>
      </c>
      <c r="K94" s="30">
        <v>63</v>
      </c>
      <c r="L94" s="31">
        <v>0.96923</v>
      </c>
      <c r="M94" s="30">
        <v>64</v>
      </c>
      <c r="N94" s="31">
        <v>0.98462</v>
      </c>
      <c r="O94" s="30">
        <v>3.375</v>
      </c>
      <c r="P94" s="30">
        <v>219.375</v>
      </c>
      <c r="Q94" s="30">
        <v>0.4</v>
      </c>
      <c r="R94" s="30">
        <v>548.44</v>
      </c>
      <c r="S94" s="30">
        <v>3.91</v>
      </c>
      <c r="T94" s="30">
        <v>56.11</v>
      </c>
    </row>
    <row r="95" spans="1:20">
      <c r="A95" s="26" t="s">
        <v>57</v>
      </c>
      <c r="B95" s="26" t="s">
        <v>18</v>
      </c>
      <c r="C95" s="26">
        <v>201610</v>
      </c>
      <c r="D95" s="26" t="s">
        <v>111</v>
      </c>
      <c r="E95" s="26" t="s">
        <v>157</v>
      </c>
      <c r="F95" s="26" t="s">
        <v>148</v>
      </c>
      <c r="G95" s="26">
        <v>1</v>
      </c>
      <c r="H95" s="26">
        <v>32</v>
      </c>
      <c r="I95" s="26">
        <v>34</v>
      </c>
      <c r="J95" s="26">
        <v>34</v>
      </c>
      <c r="K95" s="26">
        <v>32</v>
      </c>
      <c r="L95" s="32">
        <v>0.94118</v>
      </c>
      <c r="M95" s="26">
        <v>34</v>
      </c>
      <c r="N95" s="32">
        <v>1</v>
      </c>
      <c r="O95" s="26">
        <v>3.375</v>
      </c>
      <c r="P95" s="26">
        <v>114.75</v>
      </c>
      <c r="Q95" s="26">
        <v>0.2</v>
      </c>
      <c r="R95" s="26">
        <v>573.75</v>
      </c>
      <c r="S95" s="26">
        <v>3.27</v>
      </c>
      <c r="T95" s="26">
        <v>35.09</v>
      </c>
    </row>
    <row r="96" spans="1:20">
      <c r="A96" s="30" t="s">
        <v>58</v>
      </c>
      <c r="B96" s="30" t="s">
        <v>22</v>
      </c>
      <c r="C96" s="30">
        <v>201710</v>
      </c>
      <c r="D96" s="30" t="s">
        <v>111</v>
      </c>
      <c r="E96" s="30" t="s">
        <v>157</v>
      </c>
      <c r="F96" s="30" t="s">
        <v>148</v>
      </c>
      <c r="G96" s="30">
        <v>1</v>
      </c>
      <c r="H96" s="30">
        <v>18</v>
      </c>
      <c r="I96" s="30">
        <v>24</v>
      </c>
      <c r="J96" s="30">
        <v>26</v>
      </c>
      <c r="K96" s="30">
        <v>18</v>
      </c>
      <c r="L96" s="31">
        <v>0.69231</v>
      </c>
      <c r="M96" s="30">
        <v>24</v>
      </c>
      <c r="N96" s="31">
        <v>0.92308</v>
      </c>
      <c r="O96" s="30">
        <v>3.375</v>
      </c>
      <c r="P96" s="30">
        <v>87.75</v>
      </c>
      <c r="Q96" s="30">
        <v>0.2</v>
      </c>
      <c r="R96" s="30">
        <v>438.75</v>
      </c>
      <c r="S96" s="30">
        <v>2.5</v>
      </c>
      <c r="T96" s="30">
        <v>35.1</v>
      </c>
    </row>
    <row r="97" spans="1:20">
      <c r="A97" s="26" t="s">
        <v>58</v>
      </c>
      <c r="B97" s="26" t="s">
        <v>24</v>
      </c>
      <c r="C97" s="26">
        <v>201720</v>
      </c>
      <c r="D97" s="26" t="s">
        <v>111</v>
      </c>
      <c r="E97" s="26" t="s">
        <v>157</v>
      </c>
      <c r="F97" s="26" t="s">
        <v>148</v>
      </c>
      <c r="G97" s="26">
        <v>1</v>
      </c>
      <c r="H97" s="26">
        <v>36</v>
      </c>
      <c r="I97" s="26">
        <v>40</v>
      </c>
      <c r="J97" s="26">
        <v>41</v>
      </c>
      <c r="K97" s="26">
        <v>36</v>
      </c>
      <c r="L97" s="32">
        <v>0.87805</v>
      </c>
      <c r="M97" s="26">
        <v>40</v>
      </c>
      <c r="N97" s="32">
        <v>0.97561</v>
      </c>
      <c r="O97" s="26">
        <v>3.375</v>
      </c>
      <c r="P97" s="26">
        <v>138.375</v>
      </c>
      <c r="Q97" s="26">
        <v>0.2</v>
      </c>
      <c r="R97" s="26">
        <v>691.88</v>
      </c>
      <c r="S97" s="26">
        <v>3.95</v>
      </c>
      <c r="T97" s="26">
        <v>35.03</v>
      </c>
    </row>
    <row r="98" spans="1:20">
      <c r="A98" s="30" t="s">
        <v>1</v>
      </c>
      <c r="B98" s="30" t="s">
        <v>26</v>
      </c>
      <c r="C98" s="30">
        <v>201810</v>
      </c>
      <c r="D98" s="30" t="s">
        <v>111</v>
      </c>
      <c r="E98" s="30" t="s">
        <v>157</v>
      </c>
      <c r="F98" s="30" t="s">
        <v>148</v>
      </c>
      <c r="G98" s="30">
        <v>1</v>
      </c>
      <c r="H98" s="30">
        <v>19</v>
      </c>
      <c r="I98" s="30">
        <v>31</v>
      </c>
      <c r="J98" s="30">
        <v>33</v>
      </c>
      <c r="K98" s="30">
        <v>19</v>
      </c>
      <c r="L98" s="31">
        <v>0.57576</v>
      </c>
      <c r="M98" s="30">
        <v>31</v>
      </c>
      <c r="N98" s="31">
        <v>0.93939</v>
      </c>
      <c r="O98" s="30">
        <v>3.375</v>
      </c>
      <c r="P98" s="30">
        <v>111.375</v>
      </c>
      <c r="Q98" s="30">
        <v>0.2</v>
      </c>
      <c r="R98" s="30">
        <v>556.88</v>
      </c>
      <c r="S98" s="30">
        <v>3.18</v>
      </c>
      <c r="T98" s="30">
        <v>35.02</v>
      </c>
    </row>
    <row r="99" spans="1:20">
      <c r="A99" s="26" t="s">
        <v>1</v>
      </c>
      <c r="B99" s="26" t="s">
        <v>28</v>
      </c>
      <c r="C99" s="26">
        <v>201820</v>
      </c>
      <c r="D99" s="26" t="s">
        <v>111</v>
      </c>
      <c r="E99" s="26" t="s">
        <v>157</v>
      </c>
      <c r="F99" s="26" t="s">
        <v>148</v>
      </c>
      <c r="G99" s="26">
        <v>3</v>
      </c>
      <c r="H99" s="26">
        <v>83</v>
      </c>
      <c r="I99" s="26">
        <v>87</v>
      </c>
      <c r="J99" s="26">
        <v>94</v>
      </c>
      <c r="K99" s="26">
        <v>83</v>
      </c>
      <c r="L99" s="32">
        <v>0.88298</v>
      </c>
      <c r="M99" s="26">
        <v>87</v>
      </c>
      <c r="N99" s="32">
        <v>0.92553</v>
      </c>
      <c r="O99" s="26">
        <v>3.375</v>
      </c>
      <c r="P99" s="26">
        <v>317.25</v>
      </c>
      <c r="Q99" s="26">
        <v>0.6</v>
      </c>
      <c r="R99" s="26">
        <v>528.75</v>
      </c>
      <c r="S99" s="26">
        <v>9.05</v>
      </c>
      <c r="T99" s="26">
        <v>35.06</v>
      </c>
    </row>
    <row r="100" spans="1:20">
      <c r="A100" s="30" t="s">
        <v>1</v>
      </c>
      <c r="B100" s="30" t="s">
        <v>29</v>
      </c>
      <c r="C100" s="30">
        <v>201830</v>
      </c>
      <c r="D100" s="30" t="s">
        <v>111</v>
      </c>
      <c r="E100" s="30" t="s">
        <v>157</v>
      </c>
      <c r="F100" s="30" t="s">
        <v>149</v>
      </c>
      <c r="G100" s="30">
        <v>1</v>
      </c>
      <c r="H100" s="30">
        <v>26</v>
      </c>
      <c r="I100" s="30">
        <v>27</v>
      </c>
      <c r="J100" s="30">
        <v>27</v>
      </c>
      <c r="K100" s="30">
        <v>26</v>
      </c>
      <c r="L100" s="31">
        <v>0.96296</v>
      </c>
      <c r="M100" s="30">
        <v>27</v>
      </c>
      <c r="N100" s="31">
        <v>1</v>
      </c>
      <c r="O100" s="30">
        <v>3.375</v>
      </c>
      <c r="P100" s="30">
        <v>91.125</v>
      </c>
      <c r="Q100" s="30">
        <v>0.2</v>
      </c>
      <c r="R100" s="30">
        <v>455.63</v>
      </c>
      <c r="S100" s="30">
        <v>2.68</v>
      </c>
      <c r="T100" s="30">
        <v>34</v>
      </c>
    </row>
    <row r="101" spans="1:20">
      <c r="A101" s="26" t="s">
        <v>57</v>
      </c>
      <c r="B101" s="26" t="s">
        <v>20</v>
      </c>
      <c r="C101" s="26">
        <v>201620</v>
      </c>
      <c r="D101" s="26" t="s">
        <v>111</v>
      </c>
      <c r="E101" s="26" t="s">
        <v>158</v>
      </c>
      <c r="F101" s="26" t="s">
        <v>148</v>
      </c>
      <c r="G101" s="26">
        <v>1</v>
      </c>
      <c r="H101" s="26">
        <v>31</v>
      </c>
      <c r="I101" s="26">
        <v>33</v>
      </c>
      <c r="J101" s="26">
        <v>35</v>
      </c>
      <c r="K101" s="26">
        <v>31</v>
      </c>
      <c r="L101" s="32">
        <v>0.88571</v>
      </c>
      <c r="M101" s="26">
        <v>33</v>
      </c>
      <c r="N101" s="32">
        <v>0.94286</v>
      </c>
      <c r="O101" s="26">
        <v>3.375</v>
      </c>
      <c r="P101" s="26">
        <v>118.125</v>
      </c>
      <c r="Q101" s="26">
        <v>0.2</v>
      </c>
      <c r="R101" s="26">
        <v>590.63</v>
      </c>
      <c r="S101" s="26">
        <v>3.37</v>
      </c>
      <c r="T101" s="26">
        <v>35.05</v>
      </c>
    </row>
    <row r="102" spans="1:20">
      <c r="A102" s="30" t="s">
        <v>58</v>
      </c>
      <c r="B102" s="30" t="s">
        <v>24</v>
      </c>
      <c r="C102" s="30">
        <v>201720</v>
      </c>
      <c r="D102" s="30" t="s">
        <v>111</v>
      </c>
      <c r="E102" s="30" t="s">
        <v>158</v>
      </c>
      <c r="F102" s="30" t="s">
        <v>148</v>
      </c>
      <c r="G102" s="30">
        <v>1</v>
      </c>
      <c r="H102" s="30">
        <v>19</v>
      </c>
      <c r="I102" s="30">
        <v>26</v>
      </c>
      <c r="J102" s="30">
        <v>26</v>
      </c>
      <c r="K102" s="30">
        <v>19</v>
      </c>
      <c r="L102" s="31">
        <v>0.73077</v>
      </c>
      <c r="M102" s="30">
        <v>26</v>
      </c>
      <c r="N102" s="31">
        <v>1</v>
      </c>
      <c r="O102" s="30">
        <v>3.375</v>
      </c>
      <c r="P102" s="30">
        <v>87.75</v>
      </c>
      <c r="Q102" s="30">
        <v>0.2</v>
      </c>
      <c r="R102" s="30">
        <v>438.75</v>
      </c>
      <c r="S102" s="30">
        <v>2.5</v>
      </c>
      <c r="T102" s="30">
        <v>35.1</v>
      </c>
    </row>
    <row r="103" spans="1:20">
      <c r="A103" s="26" t="s">
        <v>1</v>
      </c>
      <c r="B103" s="26" t="s">
        <v>28</v>
      </c>
      <c r="C103" s="26">
        <v>201820</v>
      </c>
      <c r="D103" s="26" t="s">
        <v>111</v>
      </c>
      <c r="E103" s="26" t="s">
        <v>158</v>
      </c>
      <c r="F103" s="26" t="s">
        <v>148</v>
      </c>
      <c r="G103" s="26">
        <v>1</v>
      </c>
      <c r="H103" s="26">
        <v>22</v>
      </c>
      <c r="I103" s="26">
        <v>26</v>
      </c>
      <c r="J103" s="26">
        <v>31</v>
      </c>
      <c r="K103" s="26">
        <v>22</v>
      </c>
      <c r="L103" s="32">
        <v>0.70968</v>
      </c>
      <c r="M103" s="26">
        <v>26</v>
      </c>
      <c r="N103" s="32">
        <v>0.83871</v>
      </c>
      <c r="O103" s="26">
        <v>3.375</v>
      </c>
      <c r="P103" s="26">
        <v>104.625</v>
      </c>
      <c r="Q103" s="26">
        <v>0.2</v>
      </c>
      <c r="R103" s="26">
        <v>523.13</v>
      </c>
      <c r="S103" s="26">
        <v>2.98</v>
      </c>
      <c r="T103" s="26">
        <v>35.11</v>
      </c>
    </row>
    <row r="104" spans="1:20">
      <c r="A104" s="30" t="s">
        <v>57</v>
      </c>
      <c r="B104" s="30" t="s">
        <v>18</v>
      </c>
      <c r="C104" s="30">
        <v>201610</v>
      </c>
      <c r="D104" s="30" t="s">
        <v>111</v>
      </c>
      <c r="E104" s="30" t="s">
        <v>159</v>
      </c>
      <c r="F104" s="30" t="s">
        <v>148</v>
      </c>
      <c r="G104" s="30">
        <v>1</v>
      </c>
      <c r="H104" s="30">
        <v>35</v>
      </c>
      <c r="I104" s="30">
        <v>35</v>
      </c>
      <c r="J104" s="30">
        <v>35</v>
      </c>
      <c r="K104" s="30">
        <v>35</v>
      </c>
      <c r="L104" s="31">
        <v>1</v>
      </c>
      <c r="M104" s="30">
        <v>35</v>
      </c>
      <c r="N104" s="31">
        <v>1</v>
      </c>
      <c r="O104" s="30">
        <v>3.375</v>
      </c>
      <c r="P104" s="30">
        <v>118.125</v>
      </c>
      <c r="Q104" s="30">
        <v>0.2</v>
      </c>
      <c r="R104" s="30">
        <v>590.63</v>
      </c>
      <c r="S104" s="30">
        <v>3.37</v>
      </c>
      <c r="T104" s="30">
        <v>35.05</v>
      </c>
    </row>
    <row r="105" spans="1:20">
      <c r="A105" s="26" t="s">
        <v>57</v>
      </c>
      <c r="B105" s="26" t="s">
        <v>19</v>
      </c>
      <c r="C105" s="26">
        <v>201615</v>
      </c>
      <c r="D105" s="26" t="s">
        <v>111</v>
      </c>
      <c r="E105" s="26" t="s">
        <v>159</v>
      </c>
      <c r="F105" s="26" t="s">
        <v>148</v>
      </c>
      <c r="G105" s="26">
        <v>1</v>
      </c>
      <c r="H105" s="26">
        <v>26</v>
      </c>
      <c r="I105" s="26">
        <v>27</v>
      </c>
      <c r="J105" s="26">
        <v>28</v>
      </c>
      <c r="K105" s="26">
        <v>26</v>
      </c>
      <c r="L105" s="32">
        <v>0.92857</v>
      </c>
      <c r="M105" s="26">
        <v>27</v>
      </c>
      <c r="N105" s="32">
        <v>0.96429</v>
      </c>
      <c r="O105" s="26">
        <v>3.375</v>
      </c>
      <c r="P105" s="26">
        <v>94.5</v>
      </c>
      <c r="Q105" s="26">
        <v>0.2</v>
      </c>
      <c r="R105" s="26">
        <v>472.5</v>
      </c>
      <c r="S105" s="26">
        <v>2.74</v>
      </c>
      <c r="T105" s="26">
        <v>34.49</v>
      </c>
    </row>
    <row r="106" spans="1:20">
      <c r="A106" s="30" t="s">
        <v>57</v>
      </c>
      <c r="B106" s="30" t="s">
        <v>20</v>
      </c>
      <c r="C106" s="30">
        <v>201620</v>
      </c>
      <c r="D106" s="30" t="s">
        <v>111</v>
      </c>
      <c r="E106" s="30" t="s">
        <v>159</v>
      </c>
      <c r="F106" s="30" t="s">
        <v>149</v>
      </c>
      <c r="G106" s="30">
        <v>1</v>
      </c>
      <c r="H106" s="30">
        <v>14</v>
      </c>
      <c r="I106" s="30">
        <v>15</v>
      </c>
      <c r="J106" s="30">
        <v>17</v>
      </c>
      <c r="K106" s="30">
        <v>14</v>
      </c>
      <c r="L106" s="31">
        <v>0.82353</v>
      </c>
      <c r="M106" s="30">
        <v>15</v>
      </c>
      <c r="N106" s="31">
        <v>0.88235</v>
      </c>
      <c r="O106" s="30">
        <v>3.375</v>
      </c>
      <c r="P106" s="30">
        <v>57.375</v>
      </c>
      <c r="Q106" s="30">
        <v>0.2</v>
      </c>
      <c r="R106" s="30">
        <v>286.88</v>
      </c>
      <c r="S106" s="30">
        <v>1.64</v>
      </c>
      <c r="T106" s="30">
        <v>34.98</v>
      </c>
    </row>
    <row r="107" spans="1:20">
      <c r="A107" s="26" t="s">
        <v>57</v>
      </c>
      <c r="B107" s="26" t="s">
        <v>20</v>
      </c>
      <c r="C107" s="26">
        <v>201620</v>
      </c>
      <c r="D107" s="26" t="s">
        <v>111</v>
      </c>
      <c r="E107" s="26" t="s">
        <v>159</v>
      </c>
      <c r="F107" s="26" t="s">
        <v>148</v>
      </c>
      <c r="G107" s="26">
        <v>1</v>
      </c>
      <c r="H107" s="26">
        <v>43</v>
      </c>
      <c r="I107" s="26">
        <v>44</v>
      </c>
      <c r="J107" s="26">
        <v>47</v>
      </c>
      <c r="K107" s="26">
        <v>43</v>
      </c>
      <c r="L107" s="32">
        <v>0.91489</v>
      </c>
      <c r="M107" s="26">
        <v>44</v>
      </c>
      <c r="N107" s="32">
        <v>0.93617</v>
      </c>
      <c r="O107" s="26">
        <v>3.375</v>
      </c>
      <c r="P107" s="26">
        <v>158.625</v>
      </c>
      <c r="Q107" s="26">
        <v>0.27</v>
      </c>
      <c r="R107" s="26">
        <v>587.5</v>
      </c>
      <c r="S107" s="26">
        <v>4.53</v>
      </c>
      <c r="T107" s="26">
        <v>35.02</v>
      </c>
    </row>
    <row r="108" spans="1:20">
      <c r="A108" s="30" t="s">
        <v>57</v>
      </c>
      <c r="B108" s="30" t="s">
        <v>21</v>
      </c>
      <c r="C108" s="30">
        <v>201630</v>
      </c>
      <c r="D108" s="30" t="s">
        <v>111</v>
      </c>
      <c r="E108" s="30" t="s">
        <v>159</v>
      </c>
      <c r="F108" s="30" t="s">
        <v>148</v>
      </c>
      <c r="G108" s="30">
        <v>1</v>
      </c>
      <c r="H108" s="30">
        <v>12</v>
      </c>
      <c r="I108" s="30">
        <v>12</v>
      </c>
      <c r="J108" s="30">
        <v>12</v>
      </c>
      <c r="K108" s="30">
        <v>12</v>
      </c>
      <c r="L108" s="31">
        <v>1</v>
      </c>
      <c r="M108" s="30">
        <v>12</v>
      </c>
      <c r="N108" s="31">
        <v>1</v>
      </c>
      <c r="O108" s="30">
        <v>3.375</v>
      </c>
      <c r="P108" s="30">
        <v>40.5</v>
      </c>
      <c r="Q108" s="30">
        <v>0.2</v>
      </c>
      <c r="R108" s="30">
        <v>202.5</v>
      </c>
      <c r="S108" s="30">
        <v>1.17</v>
      </c>
      <c r="T108" s="30">
        <v>34.62</v>
      </c>
    </row>
    <row r="109" spans="1:20">
      <c r="A109" s="26" t="s">
        <v>58</v>
      </c>
      <c r="B109" s="26" t="s">
        <v>22</v>
      </c>
      <c r="C109" s="26">
        <v>201710</v>
      </c>
      <c r="D109" s="26" t="s">
        <v>111</v>
      </c>
      <c r="E109" s="26" t="s">
        <v>159</v>
      </c>
      <c r="F109" s="26" t="s">
        <v>148</v>
      </c>
      <c r="G109" s="26">
        <v>1</v>
      </c>
      <c r="H109" s="26">
        <v>34</v>
      </c>
      <c r="I109" s="26">
        <v>37</v>
      </c>
      <c r="J109" s="26">
        <v>38</v>
      </c>
      <c r="K109" s="26">
        <v>34</v>
      </c>
      <c r="L109" s="32">
        <v>0.89474</v>
      </c>
      <c r="M109" s="26">
        <v>37</v>
      </c>
      <c r="N109" s="32">
        <v>0.97368</v>
      </c>
      <c r="O109" s="26">
        <v>3.375</v>
      </c>
      <c r="P109" s="26">
        <v>128.25</v>
      </c>
      <c r="Q109" s="26">
        <v>0.2</v>
      </c>
      <c r="R109" s="26">
        <v>641.25</v>
      </c>
      <c r="S109" s="26">
        <v>3.66</v>
      </c>
      <c r="T109" s="26">
        <v>35.04</v>
      </c>
    </row>
    <row r="110" spans="1:20">
      <c r="A110" s="30" t="s">
        <v>58</v>
      </c>
      <c r="B110" s="30" t="s">
        <v>23</v>
      </c>
      <c r="C110" s="30">
        <v>201715</v>
      </c>
      <c r="D110" s="30" t="s">
        <v>111</v>
      </c>
      <c r="E110" s="30" t="s">
        <v>159</v>
      </c>
      <c r="F110" s="30" t="s">
        <v>148</v>
      </c>
      <c r="G110" s="30">
        <v>1</v>
      </c>
      <c r="H110" s="30">
        <v>19</v>
      </c>
      <c r="I110" s="30">
        <v>19</v>
      </c>
      <c r="J110" s="30">
        <v>19</v>
      </c>
      <c r="K110" s="30">
        <v>19</v>
      </c>
      <c r="L110" s="31">
        <v>1</v>
      </c>
      <c r="M110" s="30">
        <v>19</v>
      </c>
      <c r="N110" s="31">
        <v>1</v>
      </c>
      <c r="O110" s="30">
        <v>3.375</v>
      </c>
      <c r="P110" s="30">
        <v>64.125</v>
      </c>
      <c r="Q110" s="30">
        <v>0.2</v>
      </c>
      <c r="R110" s="30">
        <v>320.63</v>
      </c>
      <c r="S110" s="30">
        <v>1.86</v>
      </c>
      <c r="T110" s="30">
        <v>34.48</v>
      </c>
    </row>
    <row r="111" spans="1:20">
      <c r="A111" s="26" t="s">
        <v>58</v>
      </c>
      <c r="B111" s="26" t="s">
        <v>24</v>
      </c>
      <c r="C111" s="26">
        <v>201720</v>
      </c>
      <c r="D111" s="26" t="s">
        <v>111</v>
      </c>
      <c r="E111" s="26" t="s">
        <v>159</v>
      </c>
      <c r="F111" s="26" t="s">
        <v>148</v>
      </c>
      <c r="G111" s="26">
        <v>1</v>
      </c>
      <c r="H111" s="26">
        <v>44</v>
      </c>
      <c r="I111" s="26">
        <v>47</v>
      </c>
      <c r="J111" s="26">
        <v>48</v>
      </c>
      <c r="K111" s="26">
        <v>44</v>
      </c>
      <c r="L111" s="32">
        <v>0.91667</v>
      </c>
      <c r="M111" s="26">
        <v>47</v>
      </c>
      <c r="N111" s="32">
        <v>0.97917</v>
      </c>
      <c r="O111" s="26">
        <v>3.375</v>
      </c>
      <c r="P111" s="26">
        <v>162</v>
      </c>
      <c r="Q111" s="26">
        <v>0.27</v>
      </c>
      <c r="R111" s="26">
        <v>600</v>
      </c>
      <c r="S111" s="26">
        <v>4.62</v>
      </c>
      <c r="T111" s="26">
        <v>35.06</v>
      </c>
    </row>
    <row r="112" spans="1:20">
      <c r="A112" s="30" t="s">
        <v>1</v>
      </c>
      <c r="B112" s="30" t="s">
        <v>26</v>
      </c>
      <c r="C112" s="30">
        <v>201810</v>
      </c>
      <c r="D112" s="30" t="s">
        <v>111</v>
      </c>
      <c r="E112" s="30" t="s">
        <v>159</v>
      </c>
      <c r="F112" s="30" t="s">
        <v>149</v>
      </c>
      <c r="G112" s="30">
        <v>1</v>
      </c>
      <c r="H112" s="30">
        <v>28</v>
      </c>
      <c r="I112" s="30">
        <v>30</v>
      </c>
      <c r="J112" s="30">
        <v>30</v>
      </c>
      <c r="K112" s="30">
        <v>28</v>
      </c>
      <c r="L112" s="31">
        <v>0.93333</v>
      </c>
      <c r="M112" s="30">
        <v>30</v>
      </c>
      <c r="N112" s="31">
        <v>1</v>
      </c>
      <c r="O112" s="30">
        <v>3.375</v>
      </c>
      <c r="P112" s="30">
        <v>101.25</v>
      </c>
      <c r="Q112" s="30">
        <v>0.2</v>
      </c>
      <c r="R112" s="30">
        <v>506.25</v>
      </c>
      <c r="S112" s="30">
        <v>2.89</v>
      </c>
      <c r="T112" s="30">
        <v>35.03</v>
      </c>
    </row>
    <row r="113" spans="1:20">
      <c r="A113" s="26" t="s">
        <v>1</v>
      </c>
      <c r="B113" s="26" t="s">
        <v>26</v>
      </c>
      <c r="C113" s="26">
        <v>201810</v>
      </c>
      <c r="D113" s="26" t="s">
        <v>111</v>
      </c>
      <c r="E113" s="26" t="s">
        <v>159</v>
      </c>
      <c r="F113" s="26" t="s">
        <v>148</v>
      </c>
      <c r="G113" s="26">
        <v>1</v>
      </c>
      <c r="H113" s="26">
        <v>40</v>
      </c>
      <c r="I113" s="26">
        <v>42</v>
      </c>
      <c r="J113" s="26">
        <v>44</v>
      </c>
      <c r="K113" s="26">
        <v>40</v>
      </c>
      <c r="L113" s="32">
        <v>0.90909</v>
      </c>
      <c r="M113" s="26">
        <v>42</v>
      </c>
      <c r="N113" s="32">
        <v>0.95455</v>
      </c>
      <c r="O113" s="26">
        <v>3.375</v>
      </c>
      <c r="P113" s="26">
        <v>148.5</v>
      </c>
      <c r="Q113" s="26">
        <v>0.2</v>
      </c>
      <c r="R113" s="26">
        <v>742.5</v>
      </c>
      <c r="S113" s="26">
        <v>4.24</v>
      </c>
      <c r="T113" s="26">
        <v>35.02</v>
      </c>
    </row>
    <row r="114" spans="1:20">
      <c r="A114" s="30" t="s">
        <v>1</v>
      </c>
      <c r="B114" s="30" t="s">
        <v>28</v>
      </c>
      <c r="C114" s="30">
        <v>201820</v>
      </c>
      <c r="D114" s="30" t="s">
        <v>111</v>
      </c>
      <c r="E114" s="30" t="s">
        <v>159</v>
      </c>
      <c r="F114" s="30" t="s">
        <v>148</v>
      </c>
      <c r="G114" s="30">
        <v>1</v>
      </c>
      <c r="H114" s="30">
        <v>74</v>
      </c>
      <c r="I114" s="30">
        <v>74</v>
      </c>
      <c r="J114" s="30">
        <v>75</v>
      </c>
      <c r="K114" s="30">
        <v>74</v>
      </c>
      <c r="L114" s="31">
        <v>0.98667</v>
      </c>
      <c r="M114" s="30">
        <v>74</v>
      </c>
      <c r="N114" s="31">
        <v>0.98667</v>
      </c>
      <c r="O114" s="30">
        <v>3.375</v>
      </c>
      <c r="P114" s="30">
        <v>253.125</v>
      </c>
      <c r="Q114" s="30">
        <v>0.2</v>
      </c>
      <c r="R114" s="30">
        <v>1265.63</v>
      </c>
      <c r="S114" s="30">
        <v>7.22</v>
      </c>
      <c r="T114" s="30">
        <v>35.06</v>
      </c>
    </row>
    <row r="115" spans="1:20">
      <c r="A115" s="26" t="s">
        <v>57</v>
      </c>
      <c r="B115" s="26" t="s">
        <v>18</v>
      </c>
      <c r="C115" s="26">
        <v>201610</v>
      </c>
      <c r="D115" s="26" t="s">
        <v>111</v>
      </c>
      <c r="E115" s="26" t="s">
        <v>160</v>
      </c>
      <c r="F115" s="26" t="s">
        <v>149</v>
      </c>
      <c r="G115" s="26">
        <v>1</v>
      </c>
      <c r="H115" s="26">
        <v>24</v>
      </c>
      <c r="I115" s="26">
        <v>26</v>
      </c>
      <c r="J115" s="26">
        <v>28</v>
      </c>
      <c r="K115" s="26">
        <v>24</v>
      </c>
      <c r="L115" s="32">
        <v>0.85714</v>
      </c>
      <c r="M115" s="26">
        <v>26</v>
      </c>
      <c r="N115" s="32">
        <v>0.92857</v>
      </c>
      <c r="O115" s="26">
        <v>5.625</v>
      </c>
      <c r="P115" s="26">
        <v>157.5</v>
      </c>
      <c r="Q115" s="26">
        <v>0.33</v>
      </c>
      <c r="R115" s="26">
        <v>477.27</v>
      </c>
      <c r="S115" s="26">
        <v>4.76</v>
      </c>
      <c r="T115" s="26">
        <v>33.09</v>
      </c>
    </row>
    <row r="116" spans="1:20">
      <c r="A116" s="30" t="s">
        <v>57</v>
      </c>
      <c r="B116" s="30" t="s">
        <v>18</v>
      </c>
      <c r="C116" s="30">
        <v>201610</v>
      </c>
      <c r="D116" s="30" t="s">
        <v>111</v>
      </c>
      <c r="E116" s="30" t="s">
        <v>160</v>
      </c>
      <c r="F116" s="30" t="s">
        <v>148</v>
      </c>
      <c r="G116" s="30">
        <v>2</v>
      </c>
      <c r="H116" s="30">
        <v>32</v>
      </c>
      <c r="I116" s="30">
        <v>39</v>
      </c>
      <c r="J116" s="30">
        <v>43</v>
      </c>
      <c r="K116" s="30">
        <v>32</v>
      </c>
      <c r="L116" s="31">
        <v>0.74419</v>
      </c>
      <c r="M116" s="30">
        <v>39</v>
      </c>
      <c r="N116" s="31">
        <v>0.90698</v>
      </c>
      <c r="O116" s="30">
        <v>5.625</v>
      </c>
      <c r="P116" s="30">
        <v>241.875</v>
      </c>
      <c r="Q116" s="30">
        <v>0.67</v>
      </c>
      <c r="R116" s="30">
        <v>361.01</v>
      </c>
      <c r="S116" s="30">
        <v>7.31</v>
      </c>
      <c r="T116" s="30">
        <v>33.09</v>
      </c>
    </row>
    <row r="117" spans="1:20">
      <c r="A117" s="26" t="s">
        <v>57</v>
      </c>
      <c r="B117" s="26" t="s">
        <v>19</v>
      </c>
      <c r="C117" s="26">
        <v>201615</v>
      </c>
      <c r="D117" s="26" t="s">
        <v>111</v>
      </c>
      <c r="E117" s="26" t="s">
        <v>160</v>
      </c>
      <c r="F117" s="26" t="s">
        <v>148</v>
      </c>
      <c r="G117" s="26">
        <v>1</v>
      </c>
      <c r="H117" s="26">
        <v>20</v>
      </c>
      <c r="I117" s="26">
        <v>25</v>
      </c>
      <c r="J117" s="26">
        <v>28</v>
      </c>
      <c r="K117" s="26">
        <v>20</v>
      </c>
      <c r="L117" s="32">
        <v>0.71429</v>
      </c>
      <c r="M117" s="26">
        <v>25</v>
      </c>
      <c r="N117" s="32">
        <v>0.89286</v>
      </c>
      <c r="O117" s="26">
        <v>5.625</v>
      </c>
      <c r="P117" s="26">
        <v>157.5</v>
      </c>
      <c r="Q117" s="26">
        <v>0.33</v>
      </c>
      <c r="R117" s="26">
        <v>477.27</v>
      </c>
      <c r="S117" s="26">
        <v>4.56</v>
      </c>
      <c r="T117" s="26">
        <v>34.54</v>
      </c>
    </row>
    <row r="118" spans="1:20">
      <c r="A118" s="30" t="s">
        <v>57</v>
      </c>
      <c r="B118" s="30" t="s">
        <v>20</v>
      </c>
      <c r="C118" s="30">
        <v>201620</v>
      </c>
      <c r="D118" s="30" t="s">
        <v>111</v>
      </c>
      <c r="E118" s="30" t="s">
        <v>160</v>
      </c>
      <c r="F118" s="30" t="s">
        <v>148</v>
      </c>
      <c r="G118" s="30">
        <v>1</v>
      </c>
      <c r="H118" s="30">
        <v>22</v>
      </c>
      <c r="I118" s="30">
        <v>29</v>
      </c>
      <c r="J118" s="30">
        <v>33</v>
      </c>
      <c r="K118" s="30">
        <v>22</v>
      </c>
      <c r="L118" s="31">
        <v>0.66667</v>
      </c>
      <c r="M118" s="30">
        <v>29</v>
      </c>
      <c r="N118" s="31">
        <v>0.87879</v>
      </c>
      <c r="O118" s="30">
        <v>5.625</v>
      </c>
      <c r="P118" s="30">
        <v>185.625</v>
      </c>
      <c r="Q118" s="30">
        <v>0.33</v>
      </c>
      <c r="R118" s="30">
        <v>562.5</v>
      </c>
      <c r="S118" s="30">
        <v>5.61</v>
      </c>
      <c r="T118" s="30">
        <v>33.09</v>
      </c>
    </row>
    <row r="119" spans="1:20">
      <c r="A119" s="26" t="s">
        <v>57</v>
      </c>
      <c r="B119" s="26" t="s">
        <v>20</v>
      </c>
      <c r="C119" s="26">
        <v>201620</v>
      </c>
      <c r="D119" s="26" t="s">
        <v>111</v>
      </c>
      <c r="E119" s="26" t="s">
        <v>160</v>
      </c>
      <c r="F119" s="26" t="s">
        <v>149</v>
      </c>
      <c r="G119" s="26">
        <v>1</v>
      </c>
      <c r="H119" s="26">
        <v>20</v>
      </c>
      <c r="I119" s="26">
        <v>25</v>
      </c>
      <c r="J119" s="26">
        <v>28</v>
      </c>
      <c r="K119" s="26">
        <v>20</v>
      </c>
      <c r="L119" s="32">
        <v>0.71429</v>
      </c>
      <c r="M119" s="26">
        <v>25</v>
      </c>
      <c r="N119" s="32">
        <v>0.89286</v>
      </c>
      <c r="O119" s="26">
        <v>5.625</v>
      </c>
      <c r="P119" s="26">
        <v>157.5</v>
      </c>
      <c r="Q119" s="26">
        <v>0.33</v>
      </c>
      <c r="R119" s="26">
        <v>477.27</v>
      </c>
      <c r="S119" s="26">
        <v>4.76</v>
      </c>
      <c r="T119" s="26">
        <v>33.09</v>
      </c>
    </row>
    <row r="120" spans="1:20">
      <c r="A120" s="30" t="s">
        <v>57</v>
      </c>
      <c r="B120" s="30" t="s">
        <v>21</v>
      </c>
      <c r="C120" s="30">
        <v>201630</v>
      </c>
      <c r="D120" s="30" t="s">
        <v>111</v>
      </c>
      <c r="E120" s="30" t="s">
        <v>160</v>
      </c>
      <c r="F120" s="30" t="s">
        <v>148</v>
      </c>
      <c r="G120" s="30">
        <v>1</v>
      </c>
      <c r="H120" s="30">
        <v>13</v>
      </c>
      <c r="I120" s="30">
        <v>14</v>
      </c>
      <c r="J120" s="30">
        <v>14</v>
      </c>
      <c r="K120" s="30">
        <v>13</v>
      </c>
      <c r="L120" s="31">
        <v>0.92857</v>
      </c>
      <c r="M120" s="30">
        <v>14</v>
      </c>
      <c r="N120" s="31">
        <v>1</v>
      </c>
      <c r="O120" s="30">
        <v>5.625</v>
      </c>
      <c r="P120" s="30">
        <v>78.75</v>
      </c>
      <c r="Q120" s="30">
        <v>0.33</v>
      </c>
      <c r="R120" s="30">
        <v>238.64</v>
      </c>
      <c r="S120" s="30">
        <v>2.28</v>
      </c>
      <c r="T120" s="30">
        <v>34.54</v>
      </c>
    </row>
    <row r="121" spans="1:20">
      <c r="A121" s="26" t="s">
        <v>58</v>
      </c>
      <c r="B121" s="26" t="s">
        <v>22</v>
      </c>
      <c r="C121" s="26">
        <v>201710</v>
      </c>
      <c r="D121" s="26" t="s">
        <v>111</v>
      </c>
      <c r="E121" s="26" t="s">
        <v>160</v>
      </c>
      <c r="F121" s="26" t="s">
        <v>149</v>
      </c>
      <c r="G121" s="26">
        <v>1</v>
      </c>
      <c r="H121" s="26">
        <v>15</v>
      </c>
      <c r="I121" s="26">
        <v>18</v>
      </c>
      <c r="J121" s="26">
        <v>21</v>
      </c>
      <c r="K121" s="26">
        <v>15</v>
      </c>
      <c r="L121" s="32">
        <v>0.71429</v>
      </c>
      <c r="M121" s="26">
        <v>18</v>
      </c>
      <c r="N121" s="32">
        <v>0.85714</v>
      </c>
      <c r="O121" s="26">
        <v>5.625</v>
      </c>
      <c r="P121" s="26">
        <v>118.125</v>
      </c>
      <c r="Q121" s="26">
        <v>0.33</v>
      </c>
      <c r="R121" s="26">
        <v>357.95</v>
      </c>
      <c r="S121" s="26">
        <v>3.57</v>
      </c>
      <c r="T121" s="26">
        <v>33.09</v>
      </c>
    </row>
    <row r="122" spans="1:20">
      <c r="A122" s="30" t="s">
        <v>58</v>
      </c>
      <c r="B122" s="30" t="s">
        <v>22</v>
      </c>
      <c r="C122" s="30">
        <v>201710</v>
      </c>
      <c r="D122" s="30" t="s">
        <v>111</v>
      </c>
      <c r="E122" s="30" t="s">
        <v>160</v>
      </c>
      <c r="F122" s="30" t="s">
        <v>148</v>
      </c>
      <c r="G122" s="30">
        <v>2</v>
      </c>
      <c r="H122" s="30">
        <v>42</v>
      </c>
      <c r="I122" s="30">
        <v>54</v>
      </c>
      <c r="J122" s="30">
        <v>59</v>
      </c>
      <c r="K122" s="30">
        <v>42</v>
      </c>
      <c r="L122" s="31">
        <v>0.71186</v>
      </c>
      <c r="M122" s="30">
        <v>54</v>
      </c>
      <c r="N122" s="31">
        <v>0.91525</v>
      </c>
      <c r="O122" s="30">
        <v>5.625</v>
      </c>
      <c r="P122" s="30">
        <v>331.875</v>
      </c>
      <c r="Q122" s="30">
        <v>0.67</v>
      </c>
      <c r="R122" s="30">
        <v>495.34</v>
      </c>
      <c r="S122" s="30">
        <v>10.03</v>
      </c>
      <c r="T122" s="30">
        <v>33.09</v>
      </c>
    </row>
    <row r="123" spans="1:20">
      <c r="A123" s="26" t="s">
        <v>58</v>
      </c>
      <c r="B123" s="26" t="s">
        <v>23</v>
      </c>
      <c r="C123" s="26">
        <v>201715</v>
      </c>
      <c r="D123" s="26" t="s">
        <v>111</v>
      </c>
      <c r="E123" s="26" t="s">
        <v>160</v>
      </c>
      <c r="F123" s="26" t="s">
        <v>148</v>
      </c>
      <c r="G123" s="26">
        <v>1</v>
      </c>
      <c r="H123" s="26">
        <v>28</v>
      </c>
      <c r="I123" s="26">
        <v>29</v>
      </c>
      <c r="J123" s="26">
        <v>30</v>
      </c>
      <c r="K123" s="26">
        <v>28</v>
      </c>
      <c r="L123" s="32">
        <v>0.93333</v>
      </c>
      <c r="M123" s="26">
        <v>29</v>
      </c>
      <c r="N123" s="32">
        <v>0.96667</v>
      </c>
      <c r="O123" s="26">
        <v>5.625</v>
      </c>
      <c r="P123" s="26">
        <v>168.75</v>
      </c>
      <c r="Q123" s="26">
        <v>0.33</v>
      </c>
      <c r="R123" s="26">
        <v>511.36</v>
      </c>
      <c r="S123" s="26">
        <v>4.88</v>
      </c>
      <c r="T123" s="26">
        <v>34.58</v>
      </c>
    </row>
    <row r="124" spans="1:20">
      <c r="A124" s="30" t="s">
        <v>58</v>
      </c>
      <c r="B124" s="30" t="s">
        <v>24</v>
      </c>
      <c r="C124" s="30">
        <v>201720</v>
      </c>
      <c r="D124" s="30" t="s">
        <v>111</v>
      </c>
      <c r="E124" s="30" t="s">
        <v>160</v>
      </c>
      <c r="F124" s="30" t="s">
        <v>149</v>
      </c>
      <c r="G124" s="30">
        <v>2</v>
      </c>
      <c r="H124" s="30">
        <v>27</v>
      </c>
      <c r="I124" s="30">
        <v>36</v>
      </c>
      <c r="J124" s="30">
        <v>39</v>
      </c>
      <c r="K124" s="30">
        <v>27</v>
      </c>
      <c r="L124" s="31">
        <v>0.69231</v>
      </c>
      <c r="M124" s="30">
        <v>36</v>
      </c>
      <c r="N124" s="31">
        <v>0.92308</v>
      </c>
      <c r="O124" s="30">
        <v>5.625</v>
      </c>
      <c r="P124" s="30">
        <v>219.375</v>
      </c>
      <c r="Q124" s="30">
        <v>0.67</v>
      </c>
      <c r="R124" s="30">
        <v>327.43</v>
      </c>
      <c r="S124" s="30">
        <v>6.63</v>
      </c>
      <c r="T124" s="30">
        <v>33.09</v>
      </c>
    </row>
    <row r="125" spans="1:20">
      <c r="A125" s="26" t="s">
        <v>58</v>
      </c>
      <c r="B125" s="26" t="s">
        <v>24</v>
      </c>
      <c r="C125" s="26">
        <v>201720</v>
      </c>
      <c r="D125" s="26" t="s">
        <v>111</v>
      </c>
      <c r="E125" s="26" t="s">
        <v>160</v>
      </c>
      <c r="F125" s="26" t="s">
        <v>148</v>
      </c>
      <c r="G125" s="26">
        <v>1</v>
      </c>
      <c r="H125" s="26">
        <v>22</v>
      </c>
      <c r="I125" s="26">
        <v>27</v>
      </c>
      <c r="J125" s="26">
        <v>28</v>
      </c>
      <c r="K125" s="26">
        <v>22</v>
      </c>
      <c r="L125" s="32">
        <v>0.78571</v>
      </c>
      <c r="M125" s="26">
        <v>27</v>
      </c>
      <c r="N125" s="32">
        <v>0.96429</v>
      </c>
      <c r="O125" s="26">
        <v>5.625</v>
      </c>
      <c r="P125" s="26">
        <v>157.5</v>
      </c>
      <c r="Q125" s="26">
        <v>0.33</v>
      </c>
      <c r="R125" s="26">
        <v>477.27</v>
      </c>
      <c r="S125" s="26">
        <v>4.76</v>
      </c>
      <c r="T125" s="26">
        <v>33.09</v>
      </c>
    </row>
    <row r="126" spans="1:20">
      <c r="A126" s="30" t="s">
        <v>1</v>
      </c>
      <c r="B126" s="30" t="s">
        <v>26</v>
      </c>
      <c r="C126" s="30">
        <v>201810</v>
      </c>
      <c r="D126" s="30" t="s">
        <v>111</v>
      </c>
      <c r="E126" s="30" t="s">
        <v>160</v>
      </c>
      <c r="F126" s="30" t="s">
        <v>149</v>
      </c>
      <c r="G126" s="30">
        <v>1</v>
      </c>
      <c r="H126" s="30">
        <v>22</v>
      </c>
      <c r="I126" s="30">
        <v>22</v>
      </c>
      <c r="J126" s="30">
        <v>23</v>
      </c>
      <c r="K126" s="30">
        <v>22</v>
      </c>
      <c r="L126" s="31">
        <v>0.95652</v>
      </c>
      <c r="M126" s="30">
        <v>22</v>
      </c>
      <c r="N126" s="31">
        <v>0.95652</v>
      </c>
      <c r="O126" s="30">
        <v>5.625</v>
      </c>
      <c r="P126" s="30">
        <v>129.375</v>
      </c>
      <c r="Q126" s="30">
        <v>0.33</v>
      </c>
      <c r="R126" s="30">
        <v>392.05</v>
      </c>
      <c r="S126" s="30">
        <v>3.91</v>
      </c>
      <c r="T126" s="30">
        <v>33.09</v>
      </c>
    </row>
    <row r="127" spans="1:20">
      <c r="A127" s="26" t="s">
        <v>1</v>
      </c>
      <c r="B127" s="26" t="s">
        <v>26</v>
      </c>
      <c r="C127" s="26">
        <v>201810</v>
      </c>
      <c r="D127" s="26" t="s">
        <v>111</v>
      </c>
      <c r="E127" s="26" t="s">
        <v>160</v>
      </c>
      <c r="F127" s="26" t="s">
        <v>148</v>
      </c>
      <c r="G127" s="26">
        <v>2</v>
      </c>
      <c r="H127" s="26">
        <v>47</v>
      </c>
      <c r="I127" s="26">
        <v>56</v>
      </c>
      <c r="J127" s="26">
        <v>59</v>
      </c>
      <c r="K127" s="26">
        <v>47</v>
      </c>
      <c r="L127" s="32">
        <v>0.79661</v>
      </c>
      <c r="M127" s="26">
        <v>56</v>
      </c>
      <c r="N127" s="32">
        <v>0.94915</v>
      </c>
      <c r="O127" s="26">
        <v>5.625</v>
      </c>
      <c r="P127" s="26">
        <v>331.875</v>
      </c>
      <c r="Q127" s="26">
        <v>0.67</v>
      </c>
      <c r="R127" s="26">
        <v>495.34</v>
      </c>
      <c r="S127" s="26">
        <v>10.03</v>
      </c>
      <c r="T127" s="26">
        <v>33.09</v>
      </c>
    </row>
    <row r="128" spans="1:20">
      <c r="A128" s="30" t="s">
        <v>1</v>
      </c>
      <c r="B128" s="30" t="s">
        <v>27</v>
      </c>
      <c r="C128" s="30">
        <v>201815</v>
      </c>
      <c r="D128" s="30" t="s">
        <v>111</v>
      </c>
      <c r="E128" s="30" t="s">
        <v>160</v>
      </c>
      <c r="F128" s="30" t="s">
        <v>148</v>
      </c>
      <c r="G128" s="30">
        <v>1</v>
      </c>
      <c r="H128" s="30">
        <v>32</v>
      </c>
      <c r="I128" s="30">
        <v>33</v>
      </c>
      <c r="J128" s="30">
        <v>34</v>
      </c>
      <c r="K128" s="30">
        <v>32</v>
      </c>
      <c r="L128" s="31">
        <v>0.94118</v>
      </c>
      <c r="M128" s="30">
        <v>33</v>
      </c>
      <c r="N128" s="31">
        <v>0.97059</v>
      </c>
      <c r="O128" s="30">
        <v>5.625</v>
      </c>
      <c r="P128" s="30">
        <v>191.25</v>
      </c>
      <c r="Q128" s="30">
        <v>0.33</v>
      </c>
      <c r="R128" s="30">
        <v>579.55</v>
      </c>
      <c r="S128" s="30">
        <v>5.54</v>
      </c>
      <c r="T128" s="30">
        <v>34.52</v>
      </c>
    </row>
    <row r="129" spans="1:20">
      <c r="A129" s="26" t="s">
        <v>1</v>
      </c>
      <c r="B129" s="26" t="s">
        <v>28</v>
      </c>
      <c r="C129" s="26">
        <v>201820</v>
      </c>
      <c r="D129" s="26" t="s">
        <v>111</v>
      </c>
      <c r="E129" s="26" t="s">
        <v>160</v>
      </c>
      <c r="F129" s="26" t="s">
        <v>149</v>
      </c>
      <c r="G129" s="26">
        <v>1</v>
      </c>
      <c r="H129" s="26">
        <v>29</v>
      </c>
      <c r="I129" s="26">
        <v>30</v>
      </c>
      <c r="J129" s="26">
        <v>35</v>
      </c>
      <c r="K129" s="26">
        <v>29</v>
      </c>
      <c r="L129" s="32">
        <v>0.82857</v>
      </c>
      <c r="M129" s="26">
        <v>30</v>
      </c>
      <c r="N129" s="32">
        <v>0.85714</v>
      </c>
      <c r="O129" s="26">
        <v>5.625</v>
      </c>
      <c r="P129" s="26">
        <v>196.875</v>
      </c>
      <c r="Q129" s="26">
        <v>0.33</v>
      </c>
      <c r="R129" s="26">
        <v>596.59</v>
      </c>
      <c r="S129" s="26">
        <v>5.95</v>
      </c>
      <c r="T129" s="26">
        <v>33.09</v>
      </c>
    </row>
    <row r="130" spans="1:20">
      <c r="A130" s="30" t="s">
        <v>1</v>
      </c>
      <c r="B130" s="30" t="s">
        <v>28</v>
      </c>
      <c r="C130" s="30">
        <v>201820</v>
      </c>
      <c r="D130" s="30" t="s">
        <v>111</v>
      </c>
      <c r="E130" s="30" t="s">
        <v>160</v>
      </c>
      <c r="F130" s="30" t="s">
        <v>148</v>
      </c>
      <c r="G130" s="30">
        <v>1</v>
      </c>
      <c r="H130" s="30">
        <v>30</v>
      </c>
      <c r="I130" s="30">
        <v>34</v>
      </c>
      <c r="J130" s="30">
        <v>36</v>
      </c>
      <c r="K130" s="30">
        <v>30</v>
      </c>
      <c r="L130" s="31">
        <v>0.83333</v>
      </c>
      <c r="M130" s="30">
        <v>34</v>
      </c>
      <c r="N130" s="31">
        <v>0.94444</v>
      </c>
      <c r="O130" s="30">
        <v>5.625</v>
      </c>
      <c r="P130" s="30">
        <v>202.5</v>
      </c>
      <c r="Q130" s="30">
        <v>0.33</v>
      </c>
      <c r="R130" s="30">
        <v>613.64</v>
      </c>
      <c r="S130" s="30">
        <v>6.12</v>
      </c>
      <c r="T130" s="30">
        <v>33.09</v>
      </c>
    </row>
    <row r="131" spans="1:20">
      <c r="A131" s="26" t="s">
        <v>1</v>
      </c>
      <c r="B131" s="26" t="s">
        <v>29</v>
      </c>
      <c r="C131" s="26">
        <v>201830</v>
      </c>
      <c r="D131" s="26" t="s">
        <v>111</v>
      </c>
      <c r="E131" s="26" t="s">
        <v>160</v>
      </c>
      <c r="F131" s="26" t="s">
        <v>148</v>
      </c>
      <c r="G131" s="26">
        <v>1</v>
      </c>
      <c r="H131" s="26">
        <v>26</v>
      </c>
      <c r="I131" s="26">
        <v>29</v>
      </c>
      <c r="J131" s="26">
        <v>30</v>
      </c>
      <c r="K131" s="26">
        <v>26</v>
      </c>
      <c r="L131" s="32">
        <v>0.86667</v>
      </c>
      <c r="M131" s="26">
        <v>29</v>
      </c>
      <c r="N131" s="32">
        <v>0.96667</v>
      </c>
      <c r="O131" s="26">
        <v>5.625</v>
      </c>
      <c r="P131" s="26">
        <v>168.75</v>
      </c>
      <c r="Q131" s="26">
        <v>0.33</v>
      </c>
      <c r="R131" s="26">
        <v>511.36</v>
      </c>
      <c r="S131" s="26">
        <v>4.88</v>
      </c>
      <c r="T131" s="26">
        <v>34.58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5:T131"/>
  <mergeCells>
    <mergeCell ref="A1:T1"/>
    <mergeCell ref="A2:T2"/>
    <mergeCell ref="A3:T3"/>
  </mergeCells>
  <conditionalFormatting sqref="L6:L131">
    <cfRule type="cellIs" dxfId="0" priority="1" operator="lessThan">
      <formula>0.7</formula>
    </cfRule>
  </conditionalFormatting>
  <conditionalFormatting sqref="N6:N131">
    <cfRule type="cellIs" dxfId="1" priority="2" operator="lessThan">
      <formula>0.86</formula>
    </cfRule>
  </conditionalFormatting>
  <conditionalFormatting sqref="R6:R131">
    <cfRule type="cellIs" dxfId="2" priority="3" operator="lessThan">
      <formula>565</formula>
    </cfRule>
  </conditionalFormatting>
  <conditionalFormatting sqref="R6:R131">
    <cfRule type="cellIs" dxfId="3" priority="4" operator="greaterThanOrEqual">
      <formula>565</formula>
    </cfRule>
  </conditionalFormatting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PSY&amp;RPrinted on &amp;D</oddHeader>
    <oddFooter>&amp;L&amp;BGenerated By: Office of Institutional Research&amp;RPage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COVER PAGE</vt:lpstr>
      <vt:lpstr>A. ENRL &amp; FILL RATES</vt:lpstr>
      <vt:lpstr>B. PRODUCTIVITY</vt:lpstr>
      <vt:lpstr>C. SUCCESS &amp; RETENTION</vt:lpstr>
      <vt:lpstr>D. SUCC &amp; RET BY ETHN</vt:lpstr>
      <vt:lpstr>E. SUCC &amp; RET BY AGE</vt:lpstr>
      <vt:lpstr>F. SUCC &amp; RET BY GENDER</vt:lpstr>
      <vt:lpstr>G. DEGREES &amp; CERTS</vt:lpstr>
      <vt:lpstr>H. COURSE DATA</vt:lpstr>
      <vt:lpstr>I. SECTION DATA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 of Institutional Research</dc:creator>
  <cp:lastModifiedBy>Office of Institutional Research</cp:lastModifiedBy>
  <dcterms:created xsi:type="dcterms:W3CDTF">2018-08-14T19:33:29+02:00</dcterms:created>
  <dcterms:modified xsi:type="dcterms:W3CDTF">2018-08-14T19:33:29+02:00</dcterms:modified>
  <dc:title>2018-2019 IVC Research Report for PSY</dc:title>
  <dc:description>PSY Specific Report Generated from Banner Data.</dc:description>
  <dc:subject>2018-2019 IVC Research Report for PSY</dc:subject>
  <cp:keywords/>
  <cp:category/>
</cp:coreProperties>
</file>