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F. SUCC &amp; RET BY GENDER" sheetId="7" r:id="rId10"/>
    <sheet name="G. DEGREES &amp; CERTS" sheetId="8" r:id="rId11"/>
    <sheet name="H. COURSE DATA" sheetId="9" r:id="rId12"/>
    <sheet name="I. SECTION DATA" sheetId="10" r:id="rId13"/>
    <sheet name="Worksheet" sheetId="11" r:id="rId14"/>
  </sheets>
  <definedNames>
    <definedName name="course_data">'H. COURSE DATA'!$A$5:$T$26</definedName>
    <definedName name="_xlnm._FilterDatabase" localSheetId="8" hidden="1">'H. COURSE DATA'!$A$5:$T$26</definedName>
    <definedName name="_xlnm.Print_Titles" localSheetId="8">'H. COURSE DATA'!$5:$5</definedName>
    <definedName name="_xlnm._FilterDatabase" localSheetId="9" hidden="1">'I. SECTION DATA'!$A$5:$S$28</definedName>
    <definedName name="_xlnm.Print_Titles" localSheetId="9">'I. SECTION DATA'!$5:$5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<sst xmlns="http://schemas.openxmlformats.org/spreadsheetml/2006/main" uniqueCount="157">
  <si>
    <t>Work Experience</t>
  </si>
  <si>
    <t>2017-2018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</si>
  <si>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</si>
  <si>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</si>
  <si>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</si>
  <si>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</si>
  <si>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</si>
  <si>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</si>
  <si>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</si>
  <si>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</si>
  <si>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</si>
  <si>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</si>
  <si>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</si>
  <si>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Term</t>
  </si>
  <si>
    <t>Sections</t>
  </si>
  <si>
    <t>Fill</t>
  </si>
  <si>
    <t>Enroll</t>
  </si>
  <si>
    <t>Mass Cap</t>
  </si>
  <si>
    <t>Fall 2015</t>
  </si>
  <si>
    <t>Winter 2016</t>
  </si>
  <si>
    <t>Spring 2016</t>
  </si>
  <si>
    <t>Summer 2016</t>
  </si>
  <si>
    <t>Fall 2016</t>
  </si>
  <si>
    <t>Winter 2017</t>
  </si>
  <si>
    <t>Spring 2017</t>
  </si>
  <si>
    <t>Summer 2017</t>
  </si>
  <si>
    <t>Fall 2017</t>
  </si>
  <si>
    <t>Winter 2018</t>
  </si>
  <si>
    <t>Spring 2018</t>
  </si>
  <si>
    <t>Summer 2018</t>
  </si>
  <si>
    <t>Totals &amp; Averages:</t>
  </si>
  <si>
    <t>Academic Year</t>
  </si>
  <si>
    <t>2014-2015-2016</t>
  </si>
  <si>
    <t>2015-2016-2017</t>
  </si>
  <si>
    <t>2016-2017-2018</t>
  </si>
  <si>
    <t>Data Definitions and Calculations</t>
  </si>
  <si>
    <t>Academic Year:</t>
  </si>
  <si>
    <t>Period of time schools use to measure a quantity of study. Academic year for Imperial Valley College is from July 1st to June 30th.</t>
  </si>
  <si>
    <t>Day Sections:</t>
  </si>
  <si>
    <t>Indicates whether this course section is a day class, courses before 4:30pm.</t>
  </si>
  <si>
    <t>Enrollment:</t>
  </si>
  <si>
    <t>The number of students in the class. Students may be enrolled in more than one course and would be counted in each course for the term.</t>
  </si>
  <si>
    <t>Extended Day:</t>
  </si>
  <si>
    <t>Indicates whether this course section is an evening class, courses after 4:30 pm.</t>
  </si>
  <si>
    <t>Fill:</t>
  </si>
  <si>
    <t>Metric used to measure demand of a course/section. Enrollment is divided by the class mass cap. ( Enrollment / Mass Cap ) = Fill Rate</t>
  </si>
  <si>
    <t>Mass Cap:</t>
  </si>
  <si>
    <t>Refers to the class capacity, maximum number of students a teacher may face during a given period of instruction.</t>
  </si>
  <si>
    <t>Online:</t>
  </si>
  <si>
    <t>Indicates whether this course section is online.</t>
  </si>
  <si>
    <t>Section:</t>
  </si>
  <si>
    <t>An offering of a course.</t>
  </si>
  <si>
    <t>b. Productivity</t>
  </si>
  <si>
    <t>What are the trends in productivity?</t>
  </si>
  <si>
    <t>WSCH</t>
  </si>
  <si>
    <t>FTEF</t>
  </si>
  <si>
    <t>WSCH/FTEF</t>
  </si>
  <si>
    <t>2015-2016</t>
  </si>
  <si>
    <t>2016-2017</t>
  </si>
  <si>
    <t>FTEF:</t>
  </si>
  <si>
    <t>In a FTEF, a faculty member’s actual workload is standardized against the teaching load. Thus, FTEF does not represent an actual number of faculty members; it is a conceptual measure workload at an academic department, or an institution. The formula to calculate FTEF is expressed by the equation below: FTEF = WFCH / Contract teaching load of the discipline where WFCH = standard course hours</t>
  </si>
  <si>
    <t>Productivity (WSCH/FTEF):</t>
  </si>
  <si>
    <t>Statewide, a measure of efficiency is WSCH/FTEF where WSCH is divided by the Full-time Equivalent Faculty (FTEF).  This tells us how much of a faculty load it takes to generate a given WSCH. District has established 565 as the target WSCH/FTEF standard.</t>
  </si>
  <si>
    <t>Weekly Student Contact Hours (WSCH):</t>
  </si>
  <si>
    <t>It presents a total number of hours faculty contacted students weekly in an academic department or an institution. WSCH = census enrollment x class hours per week (WCH).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</si>
  <si>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</si>
  <si>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</si>
  <si>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</si>
  <si>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</si>
  <si>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</si>
  <si>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Retention:</t>
  </si>
  <si>
    <t>The rate or count of students retained in a class at the end of the semester. Retention rate = (A,B,C,D,F,N,P,I)/(A,B,C,D,F,P,N,I,W).</t>
  </si>
  <si>
    <t>Success:</t>
  </si>
  <si>
    <t>The rate or count of students who received a passing grade of A, B, C, P at the end of the semester. Success rate = (A,B,C,P)/(A,B,C,D,F,P,N,W,I)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</si>
  <si>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</si>
  <si>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</si>
  <si>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</si>
  <si>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</si>
  <si>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</si>
  <si>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</si>
  <si>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</si>
  <si>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</si>
  <si>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</si>
  <si>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</si>
  <si>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</si>
  <si>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The rate or count of students retained in a class at the end of the semester. Retention rate = (A,B,C,D,F,N,P,I)/(A,B,C,D,F,P,N,I,W)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</si>
  <si>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</si>
  <si>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</si>
  <si>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</si>
  <si>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</si>
  <si>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</si>
  <si>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</si>
  <si>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</si>
  <si>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</si>
  <si>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</si>
  <si>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f. Success and Retention by Gender</t>
  </si>
  <si>
    <t>Discuss the success and retention rates by the gender of our students.</t>
  </si>
  <si>
    <t>Female</t>
  </si>
  <si>
    <t>Male</t>
  </si>
  <si>
    <t>Unknown</t>
  </si>
  <si>
    <t>g. Degrees and Certificates</t>
  </si>
  <si>
    <t>Discuss the trends in the number of degrees and/or certificates awarded.</t>
  </si>
  <si>
    <t>ACADEMIC_YEAR</t>
  </si>
  <si>
    <t>MAJOR</t>
  </si>
  <si>
    <t>DEGREE</t>
  </si>
  <si>
    <t>PROGRAM</t>
  </si>
  <si>
    <t>MAJOR_DESC</t>
  </si>
  <si>
    <t>TOTAL_STUDENTS</t>
  </si>
  <si>
    <t>2011-2012</t>
  </si>
  <si>
    <t>WELD</t>
  </si>
  <si>
    <t>CERT</t>
  </si>
  <si>
    <t>WELD-CERT</t>
  </si>
  <si>
    <t>Welding Technology</t>
  </si>
  <si>
    <t>2012-2013</t>
  </si>
  <si>
    <t>AS</t>
  </si>
  <si>
    <t>WELD-AS</t>
  </si>
  <si>
    <t>2013-2014</t>
  </si>
  <si>
    <t>2014-2015</t>
  </si>
  <si>
    <t>Major:</t>
  </si>
  <si>
    <t>Specific subject area that students specialize in.</t>
  </si>
  <si>
    <t>Program:</t>
  </si>
  <si>
    <t>1. a systematic, usually sequential, grouping of courses that forms a considerable part, or all, of the requirements for a degree in a major or professional field; 2. sometimes refers to the total educational offering of an institution.</t>
  </si>
  <si>
    <t>H. Course Data</t>
  </si>
  <si>
    <t>Analyze the raw course data information if needed.</t>
  </si>
  <si>
    <t>To create an Excel table simply click a cell inside of the data below, then switch to the Insert tab above and click on Table and it will give you more filtering features.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</si>
  <si>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</si>
  <si>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</si>
  <si>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</si>
  <si>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</si>
  <si>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</si>
  <si>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</si>
  <si>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</si>
  <si>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</si>
  <si>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</si>
  <si>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SUCCESS_NUMERATOR</t>
  </si>
  <si>
    <t>SUCCESS</t>
  </si>
  <si>
    <t>RETENTION_NUMERATOR</t>
  </si>
  <si>
    <t>RETENTION</t>
  </si>
  <si>
    <t>WCH</t>
  </si>
  <si>
    <t>PRODUCTIVITY</t>
  </si>
  <si>
    <t>FTES</t>
  </si>
  <si>
    <t>WSCH_PER_FTES</t>
  </si>
  <si>
    <t>WE</t>
  </si>
  <si>
    <t>WE201</t>
  </si>
  <si>
    <t>day</t>
  </si>
  <si>
    <t>ex_day</t>
  </si>
  <si>
    <t>WE210</t>
  </si>
  <si>
    <t>WE220</t>
  </si>
  <si>
    <t>i. Section Data</t>
  </si>
  <si>
    <t>Analyze the raw section data information if needed.</t>
  </si>
  <si>
    <t>CRN</t>
  </si>
  <si>
    <t>DURATION</t>
  </si>
  <si>
    <t>INSTRUCTOR</t>
  </si>
  <si>
    <t>AVG_GPA</t>
  </si>
  <si>
    <t>Short Term</t>
  </si>
  <si>
    <t>Ruiz</t>
  </si>
  <si>
    <t>Full Term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</si>
</sst>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3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right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false" shrinkToFit="false"/>
    </xf>
    <xf xfId="0" fontId="0" numFmtId="0" fillId="0" borderId="0" applyFont="0" applyNumberFormat="0" applyFill="0" applyBorder="0" applyAlignment="1">
      <alignment horizontal="general" vertical="top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true" shrinkToFit="false"/>
    </xf>
    <xf xfId="0" fontId="7" numFmtId="0" fillId="3" borderId="1" applyFont="1" applyNumberFormat="0" applyFill="1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right" vertical="bottom" textRotation="0" wrapText="false" shrinkToFit="false"/>
    </xf>
    <xf xfId="0" fontId="7" numFmtId="0" fillId="3" borderId="1" applyFont="1" applyNumberFormat="0" applyFill="1" applyBorder="1" applyAlignment="1">
      <alignment horizontal="left" vertical="bottom" textRotation="0" wrapText="false" shrinkToFit="false"/>
    </xf>
    <xf xfId="0" fontId="0" numFmtId="0" fillId="4" borderId="1" applyFont="0" applyNumberFormat="0" applyFill="1" applyBorder="1" applyAlignment="0">
      <alignment horizontal="general" vertical="bottom" textRotation="0" wrapText="false" shrinkToFit="false"/>
    </xf>
    <xf xfId="0" fontId="0" numFmtId="10" fillId="4" borderId="1" applyFont="0" applyNumberFormat="1" applyFill="1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006100"/>
      </font>
      <fill>
        <patternFill patternType="solid">
          <bgColor rgb="FFC6EFCE"/>
        </patternFill>
      </fill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85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WE&amp;RPrinted on &amp;D</oddHeader>
    <oddFooter>&amp;L&amp;BGenerated By: Office of Institutional Research&amp;RPage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S28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8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8" customWidth="true" style="0"/>
    <col min="11" max="11" width="10" customWidth="true" style="0"/>
    <col min="12" max="12" width="10" customWidth="true" style="0"/>
    <col min="13" max="13" width="10" customWidth="true" style="0"/>
    <col min="14" max="14" width="11" customWidth="true" style="0"/>
    <col min="15" max="15" width="8" customWidth="true" style="0"/>
    <col min="16" max="16" width="8" customWidth="true" style="0"/>
    <col min="17" max="17" width="15" customWidth="true" style="0"/>
    <col min="18" max="18" width="12" customWidth="true" style="0"/>
    <col min="19" max="19" width="15" customWidth="true" style="0"/>
  </cols>
  <sheetData>
    <row r="1" spans="1:19">
      <c r="A1" s="6" t="s">
        <v>148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19">
      <c r="A2" s="7" t="s">
        <v>149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1:19">
      <c r="A3" s="7" t="s">
        <v>124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5" spans="1:19">
      <c r="A5" s="27" t="s">
        <v>102</v>
      </c>
      <c r="B5" s="23" t="s">
        <v>125</v>
      </c>
      <c r="C5" s="27" t="s">
        <v>126</v>
      </c>
      <c r="D5" s="27" t="s">
        <v>150</v>
      </c>
      <c r="E5" s="23" t="s">
        <v>127</v>
      </c>
      <c r="F5" s="23" t="s">
        <v>128</v>
      </c>
      <c r="G5" s="23" t="s">
        <v>129</v>
      </c>
      <c r="H5" s="23" t="s">
        <v>151</v>
      </c>
      <c r="I5" s="23" t="s">
        <v>152</v>
      </c>
      <c r="J5" s="27" t="s">
        <v>131</v>
      </c>
      <c r="K5" s="27" t="s">
        <v>132</v>
      </c>
      <c r="L5" s="27" t="s">
        <v>133</v>
      </c>
      <c r="M5" s="27" t="s">
        <v>135</v>
      </c>
      <c r="N5" s="27" t="s">
        <v>137</v>
      </c>
      <c r="O5" s="27" t="s">
        <v>153</v>
      </c>
      <c r="P5" s="27" t="s">
        <v>138</v>
      </c>
      <c r="Q5" s="27" t="s">
        <v>55</v>
      </c>
      <c r="R5" s="27" t="s">
        <v>139</v>
      </c>
      <c r="S5" s="27" t="s">
        <v>140</v>
      </c>
    </row>
    <row r="6" spans="1:19">
      <c r="A6" s="28" t="s">
        <v>57</v>
      </c>
      <c r="B6" s="28" t="s">
        <v>18</v>
      </c>
      <c r="C6" s="28">
        <v>201610</v>
      </c>
      <c r="D6" s="28">
        <v>10194</v>
      </c>
      <c r="E6" s="28" t="s">
        <v>142</v>
      </c>
      <c r="F6" s="28" t="s">
        <v>143</v>
      </c>
      <c r="G6" s="28" t="s">
        <v>144</v>
      </c>
      <c r="H6" s="28" t="s">
        <v>154</v>
      </c>
      <c r="I6" s="28" t="s">
        <v>155</v>
      </c>
      <c r="J6" s="28">
        <v>35</v>
      </c>
      <c r="K6" s="28">
        <v>38</v>
      </c>
      <c r="L6" s="28">
        <v>38</v>
      </c>
      <c r="M6" s="29">
        <v>0.92105</v>
      </c>
      <c r="N6" s="29">
        <v>1</v>
      </c>
      <c r="O6" s="28">
        <v>2.68</v>
      </c>
      <c r="P6" s="28">
        <v>1.125</v>
      </c>
      <c r="Q6" s="28">
        <v>0.07</v>
      </c>
      <c r="R6" s="28">
        <v>610.71</v>
      </c>
      <c r="S6" s="28">
        <v>1.33</v>
      </c>
    </row>
    <row r="7" spans="1:19">
      <c r="A7" s="24" t="s">
        <v>57</v>
      </c>
      <c r="B7" s="24" t="s">
        <v>19</v>
      </c>
      <c r="C7" s="24">
        <v>201615</v>
      </c>
      <c r="D7" s="24">
        <v>15074</v>
      </c>
      <c r="E7" s="24" t="s">
        <v>142</v>
      </c>
      <c r="F7" s="24" t="s">
        <v>143</v>
      </c>
      <c r="G7" s="24" t="s">
        <v>144</v>
      </c>
      <c r="H7" s="24" t="s">
        <v>154</v>
      </c>
      <c r="I7" s="24" t="s">
        <v>155</v>
      </c>
      <c r="J7" s="24">
        <v>9</v>
      </c>
      <c r="K7" s="24">
        <v>9</v>
      </c>
      <c r="L7" s="24">
        <v>12</v>
      </c>
      <c r="M7" s="30">
        <v>0.75</v>
      </c>
      <c r="N7" s="30">
        <v>0.75</v>
      </c>
      <c r="O7" s="24">
        <v>2.75</v>
      </c>
      <c r="P7" s="24">
        <v>1.125</v>
      </c>
      <c r="Q7" s="24">
        <v>0.07</v>
      </c>
      <c r="R7" s="24">
        <v>192.86</v>
      </c>
      <c r="S7" s="24">
        <v>0.41</v>
      </c>
    </row>
    <row r="8" spans="1:19">
      <c r="A8" s="28" t="s">
        <v>57</v>
      </c>
      <c r="B8" s="28" t="s">
        <v>20</v>
      </c>
      <c r="C8" s="28">
        <v>201620</v>
      </c>
      <c r="D8" s="28">
        <v>20192</v>
      </c>
      <c r="E8" s="28" t="s">
        <v>142</v>
      </c>
      <c r="F8" s="28" t="s">
        <v>143</v>
      </c>
      <c r="G8" s="28" t="s">
        <v>144</v>
      </c>
      <c r="H8" s="28" t="s">
        <v>154</v>
      </c>
      <c r="I8" s="28" t="s">
        <v>155</v>
      </c>
      <c r="J8" s="28">
        <v>18</v>
      </c>
      <c r="K8" s="28">
        <v>29</v>
      </c>
      <c r="L8" s="28">
        <v>34</v>
      </c>
      <c r="M8" s="29">
        <v>0.52941</v>
      </c>
      <c r="N8" s="29">
        <v>0.85294</v>
      </c>
      <c r="O8" s="28">
        <v>1.47</v>
      </c>
      <c r="P8" s="28">
        <v>1.125</v>
      </c>
      <c r="Q8" s="28">
        <v>0.07</v>
      </c>
      <c r="R8" s="28">
        <v>546.43</v>
      </c>
      <c r="S8" s="28">
        <v>1.19</v>
      </c>
    </row>
    <row r="9" spans="1:19">
      <c r="A9" s="24" t="s">
        <v>57</v>
      </c>
      <c r="B9" s="24" t="s">
        <v>21</v>
      </c>
      <c r="C9" s="24">
        <v>201630</v>
      </c>
      <c r="D9" s="24">
        <v>30048</v>
      </c>
      <c r="E9" s="24" t="s">
        <v>142</v>
      </c>
      <c r="F9" s="24" t="s">
        <v>143</v>
      </c>
      <c r="G9" s="24" t="s">
        <v>145</v>
      </c>
      <c r="H9" s="24" t="s">
        <v>154</v>
      </c>
      <c r="I9" s="24" t="s">
        <v>155</v>
      </c>
      <c r="J9" s="24">
        <v>20</v>
      </c>
      <c r="K9" s="24">
        <v>20</v>
      </c>
      <c r="L9" s="24">
        <v>21</v>
      </c>
      <c r="M9" s="30">
        <v>0.95238</v>
      </c>
      <c r="N9" s="30">
        <v>0.95238</v>
      </c>
      <c r="O9" s="24">
        <v>3.71</v>
      </c>
      <c r="P9" s="24">
        <v>1.125</v>
      </c>
      <c r="Q9" s="24">
        <v>0.07</v>
      </c>
      <c r="R9" s="24">
        <v>337.5</v>
      </c>
      <c r="S9" s="24">
        <v>0.72</v>
      </c>
    </row>
    <row r="10" spans="1:19">
      <c r="A10" s="28" t="s">
        <v>58</v>
      </c>
      <c r="B10" s="28" t="s">
        <v>22</v>
      </c>
      <c r="C10" s="28">
        <v>201710</v>
      </c>
      <c r="D10" s="28">
        <v>10194</v>
      </c>
      <c r="E10" s="28" t="s">
        <v>142</v>
      </c>
      <c r="F10" s="28" t="s">
        <v>143</v>
      </c>
      <c r="G10" s="28" t="s">
        <v>144</v>
      </c>
      <c r="H10" s="28" t="s">
        <v>154</v>
      </c>
      <c r="I10" s="28" t="s">
        <v>155</v>
      </c>
      <c r="J10" s="28">
        <v>24</v>
      </c>
      <c r="K10" s="28">
        <v>31</v>
      </c>
      <c r="L10" s="28">
        <v>34</v>
      </c>
      <c r="M10" s="29">
        <v>0.70588</v>
      </c>
      <c r="N10" s="29">
        <v>0.91176</v>
      </c>
      <c r="O10" s="28">
        <v>2.09</v>
      </c>
      <c r="P10" s="28">
        <v>1.125</v>
      </c>
      <c r="Q10" s="28">
        <v>0.07</v>
      </c>
      <c r="R10" s="28">
        <v>546.43</v>
      </c>
      <c r="S10" s="28">
        <v>1.17</v>
      </c>
    </row>
    <row r="11" spans="1:19">
      <c r="A11" s="24" t="s">
        <v>58</v>
      </c>
      <c r="B11" s="24" t="s">
        <v>23</v>
      </c>
      <c r="C11" s="24">
        <v>201715</v>
      </c>
      <c r="D11" s="24">
        <v>15074</v>
      </c>
      <c r="E11" s="24" t="s">
        <v>142</v>
      </c>
      <c r="F11" s="24" t="s">
        <v>143</v>
      </c>
      <c r="G11" s="24" t="s">
        <v>144</v>
      </c>
      <c r="H11" s="24" t="s">
        <v>154</v>
      </c>
      <c r="I11" s="24" t="s">
        <v>155</v>
      </c>
      <c r="J11" s="24">
        <v>24</v>
      </c>
      <c r="K11" s="24">
        <v>24</v>
      </c>
      <c r="L11" s="24">
        <v>24</v>
      </c>
      <c r="M11" s="30">
        <v>1</v>
      </c>
      <c r="N11" s="30">
        <v>1</v>
      </c>
      <c r="O11" s="24">
        <v>3.46</v>
      </c>
      <c r="P11" s="24">
        <v>1.125</v>
      </c>
      <c r="Q11" s="24">
        <v>0.07</v>
      </c>
      <c r="R11" s="24">
        <v>385.71</v>
      </c>
      <c r="S11" s="24">
        <v>0.84</v>
      </c>
    </row>
    <row r="12" spans="1:19">
      <c r="A12" s="28" t="s">
        <v>58</v>
      </c>
      <c r="B12" s="28" t="s">
        <v>24</v>
      </c>
      <c r="C12" s="28">
        <v>201720</v>
      </c>
      <c r="D12" s="28">
        <v>20192</v>
      </c>
      <c r="E12" s="28" t="s">
        <v>142</v>
      </c>
      <c r="F12" s="28" t="s">
        <v>143</v>
      </c>
      <c r="G12" s="28" t="s">
        <v>144</v>
      </c>
      <c r="H12" s="28" t="s">
        <v>154</v>
      </c>
      <c r="I12" s="28" t="s">
        <v>155</v>
      </c>
      <c r="J12" s="28">
        <v>22</v>
      </c>
      <c r="K12" s="28">
        <v>28</v>
      </c>
      <c r="L12" s="28">
        <v>28</v>
      </c>
      <c r="M12" s="29">
        <v>0.78571</v>
      </c>
      <c r="N12" s="29">
        <v>1</v>
      </c>
      <c r="O12" s="28">
        <v>2.68</v>
      </c>
      <c r="P12" s="28">
        <v>1.125</v>
      </c>
      <c r="Q12" s="28">
        <v>0.07</v>
      </c>
      <c r="R12" s="28">
        <v>450</v>
      </c>
      <c r="S12" s="28">
        <v>0.93</v>
      </c>
    </row>
    <row r="13" spans="1:19">
      <c r="A13" s="24" t="s">
        <v>58</v>
      </c>
      <c r="B13" s="24" t="s">
        <v>25</v>
      </c>
      <c r="C13" s="24">
        <v>201730</v>
      </c>
      <c r="D13" s="24">
        <v>30048</v>
      </c>
      <c r="E13" s="24" t="s">
        <v>142</v>
      </c>
      <c r="F13" s="24" t="s">
        <v>143</v>
      </c>
      <c r="G13" s="24" t="s">
        <v>145</v>
      </c>
      <c r="H13" s="24" t="s">
        <v>154</v>
      </c>
      <c r="I13" s="24" t="s">
        <v>155</v>
      </c>
      <c r="J13" s="24">
        <v>19</v>
      </c>
      <c r="K13" s="24">
        <v>20</v>
      </c>
      <c r="L13" s="24">
        <v>21</v>
      </c>
      <c r="M13" s="30">
        <v>0.90476</v>
      </c>
      <c r="N13" s="30">
        <v>0.95238</v>
      </c>
      <c r="O13" s="24">
        <v>3.62</v>
      </c>
      <c r="P13" s="24">
        <v>1.125</v>
      </c>
      <c r="Q13" s="24">
        <v>0.07</v>
      </c>
      <c r="R13" s="24">
        <v>337.5</v>
      </c>
      <c r="S13" s="24">
        <v>0.72</v>
      </c>
    </row>
    <row r="14" spans="1:19">
      <c r="A14" s="28" t="s">
        <v>1</v>
      </c>
      <c r="B14" s="28" t="s">
        <v>26</v>
      </c>
      <c r="C14" s="28">
        <v>201810</v>
      </c>
      <c r="D14" s="28">
        <v>10194</v>
      </c>
      <c r="E14" s="28" t="s">
        <v>142</v>
      </c>
      <c r="F14" s="28" t="s">
        <v>143</v>
      </c>
      <c r="G14" s="28" t="s">
        <v>144</v>
      </c>
      <c r="H14" s="28" t="s">
        <v>154</v>
      </c>
      <c r="I14" s="28" t="s">
        <v>155</v>
      </c>
      <c r="J14" s="28">
        <v>29</v>
      </c>
      <c r="K14" s="28">
        <v>31</v>
      </c>
      <c r="L14" s="28">
        <v>32</v>
      </c>
      <c r="M14" s="29">
        <v>0.90625</v>
      </c>
      <c r="N14" s="29">
        <v>0.96875</v>
      </c>
      <c r="O14" s="28">
        <v>3.47</v>
      </c>
      <c r="P14" s="28">
        <v>1.125</v>
      </c>
      <c r="Q14" s="28">
        <v>0.07</v>
      </c>
      <c r="R14" s="28">
        <v>514.29</v>
      </c>
      <c r="S14" s="28">
        <v>1.1</v>
      </c>
    </row>
    <row r="15" spans="1:19">
      <c r="A15" s="24" t="s">
        <v>1</v>
      </c>
      <c r="B15" s="24" t="s">
        <v>27</v>
      </c>
      <c r="C15" s="24">
        <v>201815</v>
      </c>
      <c r="D15" s="24">
        <v>15074</v>
      </c>
      <c r="E15" s="24" t="s">
        <v>142</v>
      </c>
      <c r="F15" s="24" t="s">
        <v>143</v>
      </c>
      <c r="G15" s="24" t="s">
        <v>144</v>
      </c>
      <c r="H15" s="24" t="s">
        <v>154</v>
      </c>
      <c r="I15" s="24" t="s">
        <v>155</v>
      </c>
      <c r="J15" s="24">
        <v>19</v>
      </c>
      <c r="K15" s="24">
        <v>24</v>
      </c>
      <c r="L15" s="24">
        <v>25</v>
      </c>
      <c r="M15" s="30">
        <v>0.76</v>
      </c>
      <c r="N15" s="30">
        <v>0.96</v>
      </c>
      <c r="O15" s="24">
        <v>2.8</v>
      </c>
      <c r="P15" s="24">
        <v>1.125</v>
      </c>
      <c r="Q15" s="24">
        <v>0.07</v>
      </c>
      <c r="R15" s="24">
        <v>401.79</v>
      </c>
      <c r="S15" s="24">
        <v>0.86</v>
      </c>
    </row>
    <row r="16" spans="1:19">
      <c r="A16" s="28" t="s">
        <v>1</v>
      </c>
      <c r="B16" s="28" t="s">
        <v>28</v>
      </c>
      <c r="C16" s="28">
        <v>201820</v>
      </c>
      <c r="D16" s="28">
        <v>20192</v>
      </c>
      <c r="E16" s="28" t="s">
        <v>142</v>
      </c>
      <c r="F16" s="28" t="s">
        <v>143</v>
      </c>
      <c r="G16" s="28" t="s">
        <v>144</v>
      </c>
      <c r="H16" s="28" t="s">
        <v>154</v>
      </c>
      <c r="I16" s="28" t="s">
        <v>155</v>
      </c>
      <c r="J16" s="28">
        <v>23</v>
      </c>
      <c r="K16" s="28">
        <v>28</v>
      </c>
      <c r="L16" s="28">
        <v>34</v>
      </c>
      <c r="M16" s="29">
        <v>0.67647</v>
      </c>
      <c r="N16" s="29">
        <v>0.82353</v>
      </c>
      <c r="O16" s="28">
        <v>2.26</v>
      </c>
      <c r="P16" s="28">
        <v>1.125</v>
      </c>
      <c r="Q16" s="28">
        <v>0.07</v>
      </c>
      <c r="R16" s="28">
        <v>546.43</v>
      </c>
      <c r="S16" s="28">
        <v>1.17</v>
      </c>
    </row>
    <row r="17" spans="1:19">
      <c r="A17" s="24" t="s">
        <v>1</v>
      </c>
      <c r="B17" s="24" t="s">
        <v>28</v>
      </c>
      <c r="C17" s="24">
        <v>201820</v>
      </c>
      <c r="D17" s="24">
        <v>21285</v>
      </c>
      <c r="E17" s="24" t="s">
        <v>142</v>
      </c>
      <c r="F17" s="24" t="s">
        <v>143</v>
      </c>
      <c r="G17" s="24" t="s">
        <v>144</v>
      </c>
      <c r="H17" s="24" t="s">
        <v>154</v>
      </c>
      <c r="I17" s="24" t="s">
        <v>155</v>
      </c>
      <c r="J17" s="24">
        <v>11</v>
      </c>
      <c r="K17" s="24">
        <v>13</v>
      </c>
      <c r="L17" s="24">
        <v>14</v>
      </c>
      <c r="M17" s="30">
        <v>0.78571</v>
      </c>
      <c r="N17" s="30">
        <v>0.92857</v>
      </c>
      <c r="O17" s="24">
        <v>2.86</v>
      </c>
      <c r="P17" s="24">
        <v>1.125</v>
      </c>
      <c r="Q17" s="24">
        <v>0.07</v>
      </c>
      <c r="R17" s="24">
        <v>225</v>
      </c>
      <c r="S17" s="24">
        <v>0.49</v>
      </c>
    </row>
    <row r="18" spans="1:19">
      <c r="A18" s="28" t="s">
        <v>1</v>
      </c>
      <c r="B18" s="28" t="s">
        <v>29</v>
      </c>
      <c r="C18" s="28">
        <v>201830</v>
      </c>
      <c r="D18" s="28">
        <v>30048</v>
      </c>
      <c r="E18" s="28" t="s">
        <v>142</v>
      </c>
      <c r="F18" s="28" t="s">
        <v>143</v>
      </c>
      <c r="G18" s="28" t="s">
        <v>144</v>
      </c>
      <c r="H18" s="28" t="s">
        <v>154</v>
      </c>
      <c r="I18" s="28" t="s">
        <v>155</v>
      </c>
      <c r="J18" s="28">
        <v>19</v>
      </c>
      <c r="K18" s="28">
        <v>20</v>
      </c>
      <c r="L18" s="28">
        <v>22</v>
      </c>
      <c r="M18" s="29">
        <v>0.86364</v>
      </c>
      <c r="N18" s="29">
        <v>0.90909</v>
      </c>
      <c r="O18" s="28">
        <v>3.32</v>
      </c>
      <c r="P18" s="28">
        <v>1.125</v>
      </c>
      <c r="Q18" s="28">
        <v>0.07</v>
      </c>
      <c r="R18" s="28">
        <v>353.57</v>
      </c>
      <c r="S18" s="28">
        <v>0.77</v>
      </c>
    </row>
    <row r="19" spans="1:19">
      <c r="A19" s="24" t="s">
        <v>57</v>
      </c>
      <c r="B19" s="24" t="s">
        <v>20</v>
      </c>
      <c r="C19" s="24">
        <v>201620</v>
      </c>
      <c r="D19" s="24">
        <v>20193</v>
      </c>
      <c r="E19" s="24" t="s">
        <v>142</v>
      </c>
      <c r="F19" s="24" t="s">
        <v>146</v>
      </c>
      <c r="G19" s="24" t="s">
        <v>144</v>
      </c>
      <c r="H19" s="24" t="s">
        <v>156</v>
      </c>
      <c r="I19" s="24" t="s">
        <v>155</v>
      </c>
      <c r="J19" s="24">
        <v>2</v>
      </c>
      <c r="K19" s="24">
        <v>2</v>
      </c>
      <c r="L19" s="24">
        <v>3</v>
      </c>
      <c r="M19" s="30">
        <v>0.66667</v>
      </c>
      <c r="N19" s="30">
        <v>0.66667</v>
      </c>
      <c r="O19" s="24">
        <v>0</v>
      </c>
      <c r="P19" s="24">
        <v>3.938</v>
      </c>
      <c r="Q19" s="24">
        <v>0</v>
      </c>
      <c r="R19" s="24">
        <v>0</v>
      </c>
      <c r="S19" s="24">
        <v>0.09</v>
      </c>
    </row>
    <row r="20" spans="1:19">
      <c r="A20" s="28" t="s">
        <v>58</v>
      </c>
      <c r="B20" s="28" t="s">
        <v>22</v>
      </c>
      <c r="C20" s="28">
        <v>201710</v>
      </c>
      <c r="D20" s="28">
        <v>10195</v>
      </c>
      <c r="E20" s="28" t="s">
        <v>142</v>
      </c>
      <c r="F20" s="28" t="s">
        <v>146</v>
      </c>
      <c r="G20" s="28" t="s">
        <v>144</v>
      </c>
      <c r="H20" s="28" t="s">
        <v>156</v>
      </c>
      <c r="I20" s="28" t="s">
        <v>155</v>
      </c>
      <c r="J20" s="28">
        <v>2</v>
      </c>
      <c r="K20" s="28">
        <v>2</v>
      </c>
      <c r="L20" s="28">
        <v>2</v>
      </c>
      <c r="M20" s="29">
        <v>1</v>
      </c>
      <c r="N20" s="29">
        <v>1</v>
      </c>
      <c r="O20" s="28">
        <v>0</v>
      </c>
      <c r="P20" s="28">
        <v>3.938</v>
      </c>
      <c r="Q20" s="28">
        <v>0</v>
      </c>
      <c r="R20" s="28">
        <v>0</v>
      </c>
      <c r="S20" s="28">
        <v>0.06</v>
      </c>
    </row>
    <row r="21" spans="1:19">
      <c r="A21" s="24" t="s">
        <v>1</v>
      </c>
      <c r="B21" s="24" t="s">
        <v>26</v>
      </c>
      <c r="C21" s="24">
        <v>201810</v>
      </c>
      <c r="D21" s="24">
        <v>10197</v>
      </c>
      <c r="E21" s="24" t="s">
        <v>142</v>
      </c>
      <c r="F21" s="24" t="s">
        <v>146</v>
      </c>
      <c r="G21" s="24" t="s">
        <v>144</v>
      </c>
      <c r="H21" s="24" t="s">
        <v>156</v>
      </c>
      <c r="I21" s="24" t="s">
        <v>155</v>
      </c>
      <c r="J21" s="24">
        <v>0</v>
      </c>
      <c r="K21" s="24">
        <v>0</v>
      </c>
      <c r="L21" s="24">
        <v>1</v>
      </c>
      <c r="M21" s="30">
        <v>0</v>
      </c>
      <c r="N21" s="30">
        <v>0</v>
      </c>
      <c r="O21" s="24">
        <v>0</v>
      </c>
      <c r="P21" s="24">
        <v>3.938</v>
      </c>
      <c r="Q21" s="24">
        <v>0</v>
      </c>
      <c r="R21" s="24">
        <v>0</v>
      </c>
      <c r="S21" s="24">
        <v>0.03</v>
      </c>
    </row>
    <row r="22" spans="1:19">
      <c r="A22" s="28" t="s">
        <v>57</v>
      </c>
      <c r="B22" s="28" t="s">
        <v>18</v>
      </c>
      <c r="C22" s="28">
        <v>201610</v>
      </c>
      <c r="D22" s="28">
        <v>10198</v>
      </c>
      <c r="E22" s="28" t="s">
        <v>142</v>
      </c>
      <c r="F22" s="28" t="s">
        <v>147</v>
      </c>
      <c r="G22" s="28" t="s">
        <v>144</v>
      </c>
      <c r="H22" s="28" t="s">
        <v>156</v>
      </c>
      <c r="I22" s="28" t="s">
        <v>155</v>
      </c>
      <c r="J22" s="28">
        <v>30</v>
      </c>
      <c r="K22" s="28">
        <v>31</v>
      </c>
      <c r="L22" s="28">
        <v>31</v>
      </c>
      <c r="M22" s="29">
        <v>0.96774</v>
      </c>
      <c r="N22" s="29">
        <v>1</v>
      </c>
      <c r="O22" s="28">
        <v>1.16</v>
      </c>
      <c r="P22" s="28">
        <v>3.938</v>
      </c>
      <c r="Q22" s="28">
        <v>0.27</v>
      </c>
      <c r="R22" s="28">
        <v>452.08</v>
      </c>
      <c r="S22" s="28">
        <v>0.94</v>
      </c>
    </row>
    <row r="23" spans="1:19">
      <c r="A23" s="24" t="s">
        <v>57</v>
      </c>
      <c r="B23" s="24" t="s">
        <v>20</v>
      </c>
      <c r="C23" s="24">
        <v>201620</v>
      </c>
      <c r="D23" s="24">
        <v>20196</v>
      </c>
      <c r="E23" s="24" t="s">
        <v>142</v>
      </c>
      <c r="F23" s="24" t="s">
        <v>147</v>
      </c>
      <c r="G23" s="24" t="s">
        <v>144</v>
      </c>
      <c r="H23" s="24" t="s">
        <v>156</v>
      </c>
      <c r="I23" s="24" t="s">
        <v>155</v>
      </c>
      <c r="J23" s="24">
        <v>30</v>
      </c>
      <c r="K23" s="24">
        <v>34</v>
      </c>
      <c r="L23" s="24">
        <v>35</v>
      </c>
      <c r="M23" s="30">
        <v>0.85714</v>
      </c>
      <c r="N23" s="30">
        <v>0.97143</v>
      </c>
      <c r="O23" s="24">
        <v>0.51</v>
      </c>
      <c r="P23" s="24">
        <v>3.938</v>
      </c>
      <c r="Q23" s="24">
        <v>0.27</v>
      </c>
      <c r="R23" s="24">
        <v>510.42</v>
      </c>
      <c r="S23" s="24">
        <v>1.07</v>
      </c>
    </row>
    <row r="24" spans="1:19">
      <c r="A24" s="28" t="s">
        <v>58</v>
      </c>
      <c r="B24" s="28" t="s">
        <v>22</v>
      </c>
      <c r="C24" s="28">
        <v>201710</v>
      </c>
      <c r="D24" s="28">
        <v>10198</v>
      </c>
      <c r="E24" s="28" t="s">
        <v>142</v>
      </c>
      <c r="F24" s="28" t="s">
        <v>147</v>
      </c>
      <c r="G24" s="28" t="s">
        <v>144</v>
      </c>
      <c r="H24" s="28" t="s">
        <v>156</v>
      </c>
      <c r="I24" s="28" t="s">
        <v>155</v>
      </c>
      <c r="J24" s="28">
        <v>14</v>
      </c>
      <c r="K24" s="28">
        <v>19</v>
      </c>
      <c r="L24" s="28">
        <v>21</v>
      </c>
      <c r="M24" s="29">
        <v>0.66667</v>
      </c>
      <c r="N24" s="29">
        <v>0.90476</v>
      </c>
      <c r="O24" s="28">
        <v>0.19</v>
      </c>
      <c r="P24" s="28">
        <v>3.938</v>
      </c>
      <c r="Q24" s="28">
        <v>0.27</v>
      </c>
      <c r="R24" s="28">
        <v>306.25</v>
      </c>
      <c r="S24" s="28">
        <v>0.64</v>
      </c>
    </row>
    <row r="25" spans="1:19">
      <c r="A25" s="24" t="s">
        <v>58</v>
      </c>
      <c r="B25" s="24" t="s">
        <v>24</v>
      </c>
      <c r="C25" s="24">
        <v>201720</v>
      </c>
      <c r="D25" s="24">
        <v>20196</v>
      </c>
      <c r="E25" s="24" t="s">
        <v>142</v>
      </c>
      <c r="F25" s="24" t="s">
        <v>147</v>
      </c>
      <c r="G25" s="24" t="s">
        <v>144</v>
      </c>
      <c r="H25" s="24" t="s">
        <v>156</v>
      </c>
      <c r="I25" s="24" t="s">
        <v>155</v>
      </c>
      <c r="J25" s="24">
        <v>26</v>
      </c>
      <c r="K25" s="24">
        <v>31</v>
      </c>
      <c r="L25" s="24">
        <v>35</v>
      </c>
      <c r="M25" s="30">
        <v>0.74286</v>
      </c>
      <c r="N25" s="30">
        <v>0.88571</v>
      </c>
      <c r="O25" s="24">
        <v>0.23</v>
      </c>
      <c r="P25" s="24">
        <v>3.938</v>
      </c>
      <c r="Q25" s="24">
        <v>0.27</v>
      </c>
      <c r="R25" s="24">
        <v>510.42</v>
      </c>
      <c r="S25" s="24">
        <v>1.07</v>
      </c>
    </row>
    <row r="26" spans="1:19">
      <c r="A26" s="28" t="s">
        <v>1</v>
      </c>
      <c r="B26" s="28" t="s">
        <v>26</v>
      </c>
      <c r="C26" s="28">
        <v>201810</v>
      </c>
      <c r="D26" s="28">
        <v>10198</v>
      </c>
      <c r="E26" s="28" t="s">
        <v>142</v>
      </c>
      <c r="F26" s="28" t="s">
        <v>147</v>
      </c>
      <c r="G26" s="28" t="s">
        <v>144</v>
      </c>
      <c r="H26" s="28" t="s">
        <v>156</v>
      </c>
      <c r="I26" s="28" t="s">
        <v>155</v>
      </c>
      <c r="J26" s="28">
        <v>30</v>
      </c>
      <c r="K26" s="28">
        <v>36</v>
      </c>
      <c r="L26" s="28">
        <v>38</v>
      </c>
      <c r="M26" s="29">
        <v>0.78947</v>
      </c>
      <c r="N26" s="29">
        <v>0.94737</v>
      </c>
      <c r="O26" s="28">
        <v>0.21</v>
      </c>
      <c r="P26" s="28">
        <v>3.938</v>
      </c>
      <c r="Q26" s="28">
        <v>0.27</v>
      </c>
      <c r="R26" s="28">
        <v>554.17</v>
      </c>
      <c r="S26" s="28">
        <v>1.16</v>
      </c>
    </row>
    <row r="27" spans="1:19">
      <c r="A27" s="24" t="s">
        <v>1</v>
      </c>
      <c r="B27" s="24" t="s">
        <v>28</v>
      </c>
      <c r="C27" s="24">
        <v>201820</v>
      </c>
      <c r="D27" s="24">
        <v>20196</v>
      </c>
      <c r="E27" s="24" t="s">
        <v>142</v>
      </c>
      <c r="F27" s="24" t="s">
        <v>147</v>
      </c>
      <c r="G27" s="24" t="s">
        <v>144</v>
      </c>
      <c r="H27" s="24" t="s">
        <v>156</v>
      </c>
      <c r="I27" s="24" t="s">
        <v>155</v>
      </c>
      <c r="J27" s="24">
        <v>29</v>
      </c>
      <c r="K27" s="24">
        <v>29</v>
      </c>
      <c r="L27" s="24">
        <v>32</v>
      </c>
      <c r="M27" s="30">
        <v>0.90625</v>
      </c>
      <c r="N27" s="30">
        <v>0.90625</v>
      </c>
      <c r="O27" s="24">
        <v>0</v>
      </c>
      <c r="P27" s="24">
        <v>3.938</v>
      </c>
      <c r="Q27" s="24">
        <v>0.27</v>
      </c>
      <c r="R27" s="24">
        <v>466.67</v>
      </c>
      <c r="S27" s="24">
        <v>0.98</v>
      </c>
    </row>
    <row r="28" spans="1:19">
      <c r="A28" s="28" t="s">
        <v>1</v>
      </c>
      <c r="B28" s="28" t="s">
        <v>28</v>
      </c>
      <c r="C28" s="28">
        <v>201820</v>
      </c>
      <c r="D28" s="28">
        <v>21286</v>
      </c>
      <c r="E28" s="28" t="s">
        <v>142</v>
      </c>
      <c r="F28" s="28" t="s">
        <v>147</v>
      </c>
      <c r="G28" s="28" t="s">
        <v>144</v>
      </c>
      <c r="H28" s="28" t="s">
        <v>154</v>
      </c>
      <c r="I28" s="28" t="s">
        <v>155</v>
      </c>
      <c r="J28" s="28">
        <v>6</v>
      </c>
      <c r="K28" s="28">
        <v>6</v>
      </c>
      <c r="L28" s="28">
        <v>14</v>
      </c>
      <c r="M28" s="29">
        <v>0.42857</v>
      </c>
      <c r="N28" s="29">
        <v>0.42857</v>
      </c>
      <c r="O28" s="28">
        <v>0</v>
      </c>
      <c r="P28" s="28">
        <v>3.938</v>
      </c>
      <c r="Q28" s="28">
        <v>0.07</v>
      </c>
      <c r="R28" s="28">
        <v>787.5</v>
      </c>
      <c r="S28" s="28">
        <v>0.83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S28"/>
  <mergeCells>
    <mergeCell ref="A1:S1"/>
    <mergeCell ref="A2:S2"/>
    <mergeCell ref="A3:S3"/>
  </mergeCells>
  <conditionalFormatting sqref="M6:M28">
    <cfRule type="cellIs" dxfId="0" priority="1" operator="lessThan">
      <formula>0.7</formula>
    </cfRule>
  </conditionalFormatting>
  <conditionalFormatting sqref="N6:N28">
    <cfRule type="cellIs" dxfId="1" priority="2" operator="lessThan">
      <formula>0.86</formula>
    </cfRule>
  </conditionalFormatting>
  <conditionalFormatting sqref="R6:R28">
    <cfRule type="cellIs" dxfId="2" priority="3" operator="lessThan">
      <formula>565</formula>
    </cfRule>
  </conditionalFormatting>
  <conditionalFormatting sqref="R6:R28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WE&amp;RPrinted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37"/>
  <sheetViews>
    <sheetView tabSelected="0" workbookViewId="0" showGridLines="true" showRowColHeaders="1">
      <selection activeCell="A37" sqref="A37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A5" s="9" t="s">
        <v>13</v>
      </c>
      <c r="B5" s="9" t="s">
        <v>14</v>
      </c>
      <c r="C5" s="9" t="s">
        <v>15</v>
      </c>
      <c r="D5" s="9" t="s">
        <v>16</v>
      </c>
      <c r="E5" s="9" t="s">
        <v>17</v>
      </c>
      <c r="F5" s="9" t="s">
        <v>14</v>
      </c>
      <c r="G5" s="9" t="s">
        <v>15</v>
      </c>
      <c r="H5" s="9" t="s">
        <v>16</v>
      </c>
      <c r="I5" s="9" t="s">
        <v>17</v>
      </c>
      <c r="J5" s="9" t="s">
        <v>14</v>
      </c>
      <c r="K5" s="9" t="s">
        <v>15</v>
      </c>
      <c r="L5" s="9" t="s">
        <v>16</v>
      </c>
      <c r="M5" s="9" t="s">
        <v>17</v>
      </c>
    </row>
    <row r="6" spans="1:13">
      <c r="A6" s="10" t="s">
        <v>18</v>
      </c>
      <c r="B6" s="11">
        <v>3</v>
      </c>
      <c r="C6" s="12" t="str">
        <f>IF(E6=0, 0, (D6/E6))</f>
        <v>0</v>
      </c>
      <c r="D6" s="11">
        <v>71</v>
      </c>
      <c r="E6" s="11">
        <v>105</v>
      </c>
      <c r="F6" s="11">
        <v>0</v>
      </c>
      <c r="G6" s="12" t="str">
        <f>IF(I6=0, 0, (H6/I6))</f>
        <v>0</v>
      </c>
      <c r="H6" s="11">
        <v>0</v>
      </c>
      <c r="I6" s="11">
        <v>0</v>
      </c>
      <c r="J6" s="11">
        <v>0</v>
      </c>
      <c r="K6" s="12" t="str">
        <f>IF(M6=0, 0, (L6/M6))</f>
        <v>0</v>
      </c>
      <c r="L6" s="11">
        <v>0</v>
      </c>
      <c r="M6" s="11">
        <v>0</v>
      </c>
    </row>
    <row r="7" spans="1:13">
      <c r="A7" s="10" t="s">
        <v>19</v>
      </c>
      <c r="B7" s="10">
        <v>1</v>
      </c>
      <c r="C7" s="13" t="str">
        <f>IF(E7=0, 0, (D7/E7))</f>
        <v>0</v>
      </c>
      <c r="D7" s="10">
        <v>12</v>
      </c>
      <c r="E7" s="10">
        <v>35</v>
      </c>
      <c r="F7" s="10">
        <v>0</v>
      </c>
      <c r="G7" s="13" t="str">
        <f>IF(I7=0, 0, (H7/I7))</f>
        <v>0</v>
      </c>
      <c r="H7" s="10">
        <v>0</v>
      </c>
      <c r="I7" s="10">
        <v>0</v>
      </c>
      <c r="J7" s="10">
        <v>0</v>
      </c>
      <c r="K7" s="13" t="str">
        <f>IF(M7=0, 0, (L7/M7))</f>
        <v>0</v>
      </c>
      <c r="L7" s="10">
        <v>0</v>
      </c>
      <c r="M7" s="10">
        <v>0</v>
      </c>
    </row>
    <row r="8" spans="1:13">
      <c r="A8" s="10" t="s">
        <v>20</v>
      </c>
      <c r="B8" s="11">
        <v>3</v>
      </c>
      <c r="C8" s="12" t="str">
        <f>IF(E8=0, 0, (D8/E8))</f>
        <v>0</v>
      </c>
      <c r="D8" s="11">
        <v>72</v>
      </c>
      <c r="E8" s="11">
        <v>73</v>
      </c>
      <c r="F8" s="11">
        <v>0</v>
      </c>
      <c r="G8" s="12" t="str">
        <f>IF(I8=0, 0, (H8/I8))</f>
        <v>0</v>
      </c>
      <c r="H8" s="11">
        <v>0</v>
      </c>
      <c r="I8" s="11">
        <v>0</v>
      </c>
      <c r="J8" s="11">
        <v>0</v>
      </c>
      <c r="K8" s="12" t="str">
        <f>IF(M8=0, 0, (L8/M8))</f>
        <v>0</v>
      </c>
      <c r="L8" s="11">
        <v>0</v>
      </c>
      <c r="M8" s="11">
        <v>0</v>
      </c>
    </row>
    <row r="9" spans="1:13">
      <c r="A9" s="10" t="s">
        <v>21</v>
      </c>
      <c r="B9" s="10">
        <v>0</v>
      </c>
      <c r="C9" s="13" t="str">
        <f>IF(E9=0, 0, (D9/E9))</f>
        <v>0</v>
      </c>
      <c r="D9" s="10">
        <v>0</v>
      </c>
      <c r="E9" s="10">
        <v>0</v>
      </c>
      <c r="F9" s="10">
        <v>1</v>
      </c>
      <c r="G9" s="13" t="str">
        <f>IF(I9=0, 0, (H9/I9))</f>
        <v>0</v>
      </c>
      <c r="H9" s="10">
        <v>21</v>
      </c>
      <c r="I9" s="10">
        <v>35</v>
      </c>
      <c r="J9" s="10">
        <v>0</v>
      </c>
      <c r="K9" s="13" t="str">
        <f>IF(M9=0, 0, (L9/M9))</f>
        <v>0</v>
      </c>
      <c r="L9" s="10">
        <v>0</v>
      </c>
      <c r="M9" s="10">
        <v>0</v>
      </c>
    </row>
    <row r="10" spans="1:13">
      <c r="A10" s="10" t="s">
        <v>22</v>
      </c>
      <c r="B10" s="11">
        <v>3</v>
      </c>
      <c r="C10" s="12" t="str">
        <f>IF(E10=0, 0, (D10/E10))</f>
        <v>0</v>
      </c>
      <c r="D10" s="11">
        <v>57</v>
      </c>
      <c r="E10" s="11">
        <v>105</v>
      </c>
      <c r="F10" s="11">
        <v>0</v>
      </c>
      <c r="G10" s="12" t="str">
        <f>IF(I10=0, 0, (H10/I10))</f>
        <v>0</v>
      </c>
      <c r="H10" s="11">
        <v>0</v>
      </c>
      <c r="I10" s="11">
        <v>0</v>
      </c>
      <c r="J10" s="11">
        <v>0</v>
      </c>
      <c r="K10" s="12" t="str">
        <f>IF(M10=0, 0, (L10/M10))</f>
        <v>0</v>
      </c>
      <c r="L10" s="11">
        <v>0</v>
      </c>
      <c r="M10" s="11">
        <v>0</v>
      </c>
    </row>
    <row r="11" spans="1:13">
      <c r="A11" s="10" t="s">
        <v>23</v>
      </c>
      <c r="B11" s="10">
        <v>1</v>
      </c>
      <c r="C11" s="13" t="str">
        <f>IF(E11=0, 0, (D11/E11))</f>
        <v>0</v>
      </c>
      <c r="D11" s="10">
        <v>24</v>
      </c>
      <c r="E11" s="10">
        <v>35</v>
      </c>
      <c r="F11" s="10">
        <v>0</v>
      </c>
      <c r="G11" s="13" t="str">
        <f>IF(I11=0, 0, (H11/I11))</f>
        <v>0</v>
      </c>
      <c r="H11" s="10">
        <v>0</v>
      </c>
      <c r="I11" s="10">
        <v>0</v>
      </c>
      <c r="J11" s="10">
        <v>0</v>
      </c>
      <c r="K11" s="13" t="str">
        <f>IF(M11=0, 0, (L11/M11))</f>
        <v>0</v>
      </c>
      <c r="L11" s="10">
        <v>0</v>
      </c>
      <c r="M11" s="10">
        <v>0</v>
      </c>
    </row>
    <row r="12" spans="1:13">
      <c r="A12" s="10" t="s">
        <v>24</v>
      </c>
      <c r="B12" s="11">
        <v>2</v>
      </c>
      <c r="C12" s="12" t="str">
        <f>IF(E12=0, 0, (D12/E12))</f>
        <v>0</v>
      </c>
      <c r="D12" s="11">
        <v>63</v>
      </c>
      <c r="E12" s="11">
        <v>70</v>
      </c>
      <c r="F12" s="11">
        <v>0</v>
      </c>
      <c r="G12" s="12" t="str">
        <f>IF(I12=0, 0, (H12/I12))</f>
        <v>0</v>
      </c>
      <c r="H12" s="11">
        <v>0</v>
      </c>
      <c r="I12" s="11">
        <v>0</v>
      </c>
      <c r="J12" s="11">
        <v>0</v>
      </c>
      <c r="K12" s="12" t="str">
        <f>IF(M12=0, 0, (L12/M12))</f>
        <v>0</v>
      </c>
      <c r="L12" s="11">
        <v>0</v>
      </c>
      <c r="M12" s="11">
        <v>0</v>
      </c>
    </row>
    <row r="13" spans="1:13">
      <c r="A13" s="10" t="s">
        <v>25</v>
      </c>
      <c r="B13" s="10">
        <v>0</v>
      </c>
      <c r="C13" s="13" t="str">
        <f>IF(E13=0, 0, (D13/E13))</f>
        <v>0</v>
      </c>
      <c r="D13" s="10">
        <v>0</v>
      </c>
      <c r="E13" s="10">
        <v>0</v>
      </c>
      <c r="F13" s="10">
        <v>1</v>
      </c>
      <c r="G13" s="13" t="str">
        <f>IF(I13=0, 0, (H13/I13))</f>
        <v>0</v>
      </c>
      <c r="H13" s="10">
        <v>21</v>
      </c>
      <c r="I13" s="10">
        <v>35</v>
      </c>
      <c r="J13" s="10">
        <v>0</v>
      </c>
      <c r="K13" s="13" t="str">
        <f>IF(M13=0, 0, (L13/M13))</f>
        <v>0</v>
      </c>
      <c r="L13" s="10">
        <v>0</v>
      </c>
      <c r="M13" s="10">
        <v>0</v>
      </c>
    </row>
    <row r="14" spans="1:13">
      <c r="A14" s="10" t="s">
        <v>26</v>
      </c>
      <c r="B14" s="11">
        <v>3</v>
      </c>
      <c r="C14" s="12" t="str">
        <f>IF(E14=0, 0, (D14/E14))</f>
        <v>0</v>
      </c>
      <c r="D14" s="11">
        <v>71</v>
      </c>
      <c r="E14" s="11">
        <v>105</v>
      </c>
      <c r="F14" s="11">
        <v>0</v>
      </c>
      <c r="G14" s="12" t="str">
        <f>IF(I14=0, 0, (H14/I14))</f>
        <v>0</v>
      </c>
      <c r="H14" s="11">
        <v>0</v>
      </c>
      <c r="I14" s="11">
        <v>0</v>
      </c>
      <c r="J14" s="11">
        <v>0</v>
      </c>
      <c r="K14" s="12" t="str">
        <f>IF(M14=0, 0, (L14/M14))</f>
        <v>0</v>
      </c>
      <c r="L14" s="11">
        <v>0</v>
      </c>
      <c r="M14" s="11">
        <v>0</v>
      </c>
    </row>
    <row r="15" spans="1:13">
      <c r="A15" s="10" t="s">
        <v>27</v>
      </c>
      <c r="B15" s="10">
        <v>1</v>
      </c>
      <c r="C15" s="13" t="str">
        <f>IF(E15=0, 0, (D15/E15))</f>
        <v>0</v>
      </c>
      <c r="D15" s="10">
        <v>25</v>
      </c>
      <c r="E15" s="10">
        <v>35</v>
      </c>
      <c r="F15" s="10">
        <v>0</v>
      </c>
      <c r="G15" s="13" t="str">
        <f>IF(I15=0, 0, (H15/I15))</f>
        <v>0</v>
      </c>
      <c r="H15" s="10">
        <v>0</v>
      </c>
      <c r="I15" s="10">
        <v>0</v>
      </c>
      <c r="J15" s="10">
        <v>0</v>
      </c>
      <c r="K15" s="13" t="str">
        <f>IF(M15=0, 0, (L15/M15))</f>
        <v>0</v>
      </c>
      <c r="L15" s="10">
        <v>0</v>
      </c>
      <c r="M15" s="10">
        <v>0</v>
      </c>
    </row>
    <row r="16" spans="1:13">
      <c r="A16" s="10" t="s">
        <v>28</v>
      </c>
      <c r="B16" s="11">
        <v>4</v>
      </c>
      <c r="C16" s="12" t="str">
        <f>IF(E16=0, 0, (D16/E16))</f>
        <v>0</v>
      </c>
      <c r="D16" s="11">
        <v>94</v>
      </c>
      <c r="E16" s="11">
        <v>140</v>
      </c>
      <c r="F16" s="11">
        <v>0</v>
      </c>
      <c r="G16" s="12" t="str">
        <f>IF(I16=0, 0, (H16/I16))</f>
        <v>0</v>
      </c>
      <c r="H16" s="11">
        <v>0</v>
      </c>
      <c r="I16" s="11">
        <v>0</v>
      </c>
      <c r="J16" s="11">
        <v>0</v>
      </c>
      <c r="K16" s="12" t="str">
        <f>IF(M16=0, 0, (L16/M16))</f>
        <v>0</v>
      </c>
      <c r="L16" s="11">
        <v>0</v>
      </c>
      <c r="M16" s="11">
        <v>0</v>
      </c>
    </row>
    <row r="17" spans="1:13">
      <c r="A17" s="10" t="s">
        <v>29</v>
      </c>
      <c r="B17" s="10">
        <v>1</v>
      </c>
      <c r="C17" s="13" t="str">
        <f>IF(E17=0, 0, (D17/E17))</f>
        <v>0</v>
      </c>
      <c r="D17" s="10">
        <v>22</v>
      </c>
      <c r="E17" s="10">
        <v>35</v>
      </c>
      <c r="F17" s="10">
        <v>0</v>
      </c>
      <c r="G17" s="13" t="str">
        <f>IF(I17=0, 0, (H17/I17))</f>
        <v>0</v>
      </c>
      <c r="H17" s="10">
        <v>0</v>
      </c>
      <c r="I17" s="10">
        <v>0</v>
      </c>
      <c r="J17" s="10">
        <v>0</v>
      </c>
      <c r="K17" s="13" t="str">
        <f>IF(M17=0, 0, (L17/M17))</f>
        <v>0</v>
      </c>
      <c r="L17" s="10">
        <v>0</v>
      </c>
      <c r="M17" s="10">
        <v>0</v>
      </c>
    </row>
    <row r="18" spans="1:13">
      <c r="A18" s="14" t="s">
        <v>30</v>
      </c>
      <c r="B18" s="15" t="str">
        <f>SUM(B6:B17)</f>
        <v>0</v>
      </c>
      <c r="C18" s="16" t="str">
        <f>IF(E18=0, 0, (D18/E18))</f>
        <v>0</v>
      </c>
      <c r="D18" s="15" t="str">
        <f>SUM(D6:D17)</f>
        <v>0</v>
      </c>
      <c r="E18" s="15" t="str">
        <f>SUM(E6:E17)</f>
        <v>0</v>
      </c>
      <c r="F18" s="15" t="str">
        <f>SUM(F6:F17)</f>
        <v>0</v>
      </c>
      <c r="G18" s="16" t="str">
        <f>IF(I18=0, 0, (H18/I18))</f>
        <v>0</v>
      </c>
      <c r="H18" s="15" t="str">
        <f>SUM(H6:H17)</f>
        <v>0</v>
      </c>
      <c r="I18" s="15" t="str">
        <f>SUM(I6:I17)</f>
        <v>0</v>
      </c>
      <c r="J18" s="15" t="str">
        <f>SUM(J6:J17)</f>
        <v>0</v>
      </c>
      <c r="K18" s="16" t="str">
        <f>IF(M18=0, 0, (L18/M18))</f>
        <v>0</v>
      </c>
      <c r="L18" s="15" t="str">
        <f>SUM(L6:L17)</f>
        <v>0</v>
      </c>
      <c r="M18" s="15" t="str">
        <f>SUM(M6:M17)</f>
        <v>0</v>
      </c>
    </row>
    <row r="20" spans="1:13">
      <c r="B20" s="9" t="s">
        <v>10</v>
      </c>
      <c r="C20" s="9"/>
      <c r="D20" s="9"/>
      <c r="E20" s="9"/>
      <c r="F20" s="9" t="s">
        <v>11</v>
      </c>
      <c r="G20" s="9"/>
      <c r="H20" s="9"/>
      <c r="I20" s="9"/>
      <c r="J20" s="9" t="s">
        <v>12</v>
      </c>
      <c r="K20" s="9"/>
      <c r="L20" s="9"/>
      <c r="M20" s="9"/>
    </row>
    <row r="21" spans="1:13">
      <c r="A21" s="9" t="s">
        <v>31</v>
      </c>
      <c r="B21" s="9" t="s">
        <v>14</v>
      </c>
      <c r="C21" s="9" t="s">
        <v>15</v>
      </c>
      <c r="D21" s="9" t="s">
        <v>16</v>
      </c>
      <c r="E21" s="9" t="s">
        <v>17</v>
      </c>
      <c r="F21" s="9" t="s">
        <v>14</v>
      </c>
      <c r="G21" s="9" t="s">
        <v>15</v>
      </c>
      <c r="H21" s="9" t="s">
        <v>16</v>
      </c>
      <c r="I21" s="9" t="s">
        <v>17</v>
      </c>
      <c r="J21" s="9" t="s">
        <v>14</v>
      </c>
      <c r="K21" s="9" t="s">
        <v>15</v>
      </c>
      <c r="L21" s="9" t="s">
        <v>16</v>
      </c>
      <c r="M21" s="9" t="s">
        <v>17</v>
      </c>
    </row>
    <row r="22" spans="1:13">
      <c r="A22" s="10" t="s">
        <v>32</v>
      </c>
      <c r="B22" s="11">
        <v>7</v>
      </c>
      <c r="C22" s="12" t="str">
        <f>IF(E22=0, 0, (D22/E22))</f>
        <v>0</v>
      </c>
      <c r="D22" s="11">
        <v>155</v>
      </c>
      <c r="E22" s="11">
        <v>213</v>
      </c>
      <c r="F22" s="11">
        <v>1</v>
      </c>
      <c r="G22" s="12" t="str">
        <f>IF(I22=0, 0, (H22/I22))</f>
        <v>0</v>
      </c>
      <c r="H22" s="11">
        <v>21</v>
      </c>
      <c r="I22" s="11">
        <v>35</v>
      </c>
      <c r="J22" s="11">
        <v>0</v>
      </c>
      <c r="K22" s="12" t="str">
        <f>IF(M22=0, 0, (L22/M22))</f>
        <v>0</v>
      </c>
      <c r="L22" s="11">
        <v>0</v>
      </c>
      <c r="M22" s="11">
        <v>0</v>
      </c>
    </row>
    <row r="23" spans="1:13">
      <c r="A23" s="10" t="s">
        <v>33</v>
      </c>
      <c r="B23" s="10">
        <v>6</v>
      </c>
      <c r="C23" s="13" t="str">
        <f>IF(E23=0, 0, (D23/E23))</f>
        <v>0</v>
      </c>
      <c r="D23" s="10">
        <v>144</v>
      </c>
      <c r="E23" s="10">
        <v>210</v>
      </c>
      <c r="F23" s="10">
        <v>1</v>
      </c>
      <c r="G23" s="13" t="str">
        <f>IF(I23=0, 0, (H23/I23))</f>
        <v>0</v>
      </c>
      <c r="H23" s="10">
        <v>21</v>
      </c>
      <c r="I23" s="10">
        <v>35</v>
      </c>
      <c r="J23" s="10">
        <v>0</v>
      </c>
      <c r="K23" s="13" t="str">
        <f>IF(M23=0, 0, (L23/M23))</f>
        <v>0</v>
      </c>
      <c r="L23" s="10">
        <v>0</v>
      </c>
      <c r="M23" s="10">
        <v>0</v>
      </c>
    </row>
    <row r="24" spans="1:13">
      <c r="A24" s="10" t="s">
        <v>34</v>
      </c>
      <c r="B24" s="11">
        <v>9</v>
      </c>
      <c r="C24" s="12" t="str">
        <f>IF(E24=0, 0, (D24/E24))</f>
        <v>0</v>
      </c>
      <c r="D24" s="11">
        <v>212</v>
      </c>
      <c r="E24" s="11">
        <v>315</v>
      </c>
      <c r="F24" s="11">
        <v>0</v>
      </c>
      <c r="G24" s="12" t="str">
        <f>IF(I24=0, 0, (H24/I24))</f>
        <v>0</v>
      </c>
      <c r="H24" s="11">
        <v>0</v>
      </c>
      <c r="I24" s="11">
        <v>0</v>
      </c>
      <c r="J24" s="11">
        <v>0</v>
      </c>
      <c r="K24" s="12" t="str">
        <f>IF(M24=0, 0, (L24/M24))</f>
        <v>0</v>
      </c>
      <c r="L24" s="11">
        <v>0</v>
      </c>
      <c r="M24" s="11">
        <v>0</v>
      </c>
    </row>
    <row r="25" spans="1:13">
      <c r="A25" s="14" t="s">
        <v>30</v>
      </c>
      <c r="B25" s="15" t="str">
        <f>SUM(B22:B24)</f>
        <v>0</v>
      </c>
      <c r="C25" s="16" t="str">
        <f>IF(E25=0, 0, (D25/E25))</f>
        <v>0</v>
      </c>
      <c r="D25" s="15" t="str">
        <f>SUM(D22:D24)</f>
        <v>0</v>
      </c>
      <c r="E25" s="15" t="str">
        <f>SUM(E22:E24)</f>
        <v>0</v>
      </c>
      <c r="F25" s="15" t="str">
        <f>SUM(F22:F24)</f>
        <v>0</v>
      </c>
      <c r="G25" s="16" t="str">
        <f>IF(I25=0, 0, (H25/I25))</f>
        <v>0</v>
      </c>
      <c r="H25" s="15" t="str">
        <f>SUM(H22:H24)</f>
        <v>0</v>
      </c>
      <c r="I25" s="15" t="str">
        <f>SUM(I22:I24)</f>
        <v>0</v>
      </c>
      <c r="J25" s="15" t="str">
        <f>SUM(J22:J24)</f>
        <v>0</v>
      </c>
      <c r="K25" s="16" t="str">
        <f>IF(M25=0, 0, (L25/M25))</f>
        <v>0</v>
      </c>
      <c r="L25" s="15" t="str">
        <f>SUM(L22:L24)</f>
        <v>0</v>
      </c>
      <c r="M25" s="15" t="str">
        <f>SUM(M22:M24)</f>
        <v>0</v>
      </c>
    </row>
    <row r="28" spans="1:13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30" spans="1:13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</row>
    <row r="31" spans="1:13">
      <c r="A31" s="17" t="s">
        <v>38</v>
      </c>
      <c r="B31" s="18"/>
      <c r="C31" t="s">
        <v>39</v>
      </c>
      <c r="D31"/>
      <c r="E31"/>
      <c r="F31"/>
      <c r="G31"/>
      <c r="H31"/>
      <c r="I31"/>
      <c r="J31"/>
      <c r="K31"/>
      <c r="L31"/>
      <c r="M31"/>
    </row>
    <row r="32" spans="1:13">
      <c r="A32" s="17" t="s">
        <v>40</v>
      </c>
      <c r="B32" s="18"/>
      <c r="C32" t="s">
        <v>41</v>
      </c>
      <c r="D32"/>
      <c r="E32"/>
      <c r="F32"/>
      <c r="G32"/>
      <c r="H32"/>
      <c r="I32"/>
      <c r="J32"/>
      <c r="K32"/>
      <c r="L32"/>
      <c r="M32"/>
    </row>
    <row r="33" spans="1:13">
      <c r="A33" s="17" t="s">
        <v>42</v>
      </c>
      <c r="B33" s="18"/>
      <c r="C33" t="s">
        <v>43</v>
      </c>
      <c r="D33"/>
      <c r="E33"/>
      <c r="F33"/>
      <c r="G33"/>
      <c r="H33"/>
      <c r="I33"/>
      <c r="J33"/>
      <c r="K33"/>
      <c r="L33"/>
      <c r="M33"/>
    </row>
    <row r="34" spans="1:13">
      <c r="A34" s="17" t="s">
        <v>44</v>
      </c>
      <c r="B34" s="18"/>
      <c r="C34" t="s">
        <v>45</v>
      </c>
      <c r="D34"/>
      <c r="E34"/>
      <c r="F34"/>
      <c r="G34"/>
      <c r="H34"/>
      <c r="I34"/>
      <c r="J34"/>
      <c r="K34"/>
      <c r="L34"/>
      <c r="M34"/>
    </row>
    <row r="35" spans="1:13">
      <c r="A35" s="17" t="s">
        <v>46</v>
      </c>
      <c r="B35" s="18"/>
      <c r="C35" t="s">
        <v>47</v>
      </c>
      <c r="D35"/>
      <c r="E35"/>
      <c r="F35"/>
      <c r="G35"/>
      <c r="H35"/>
      <c r="I35"/>
      <c r="J35"/>
      <c r="K35"/>
      <c r="L35"/>
      <c r="M35"/>
    </row>
    <row r="36" spans="1:13">
      <c r="A36" s="17" t="s">
        <v>48</v>
      </c>
      <c r="B36" s="18"/>
      <c r="C36" t="s">
        <v>49</v>
      </c>
      <c r="D36"/>
      <c r="E36"/>
      <c r="F36"/>
      <c r="G36"/>
      <c r="H36"/>
      <c r="I36"/>
      <c r="J36"/>
      <c r="K36"/>
      <c r="L36"/>
      <c r="M36"/>
    </row>
    <row r="37" spans="1:13">
      <c r="A37" s="17" t="s">
        <v>50</v>
      </c>
      <c r="B37" s="18"/>
      <c r="C37" t="s">
        <v>51</v>
      </c>
      <c r="D37"/>
      <c r="E37"/>
      <c r="F37"/>
      <c r="G37"/>
      <c r="H37"/>
      <c r="I37"/>
      <c r="J37"/>
      <c r="K37"/>
      <c r="L37"/>
      <c r="M3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  <mergeCell ref="B20:E20"/>
    <mergeCell ref="F20:I20"/>
    <mergeCell ref="J20:M20"/>
    <mergeCell ref="A28:M28"/>
    <mergeCell ref="A30:B30"/>
    <mergeCell ref="C30:M30"/>
    <mergeCell ref="A31:B31"/>
    <mergeCell ref="C31:M31"/>
    <mergeCell ref="A32:B32"/>
    <mergeCell ref="C32:M32"/>
    <mergeCell ref="A33:B33"/>
    <mergeCell ref="C33:M33"/>
    <mergeCell ref="A34:B34"/>
    <mergeCell ref="C34:M34"/>
    <mergeCell ref="A35:B35"/>
    <mergeCell ref="C35:M35"/>
    <mergeCell ref="A36:B36"/>
    <mergeCell ref="C36:M36"/>
    <mergeCell ref="A37:B37"/>
    <mergeCell ref="C37:M37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WE&amp;RPrinted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3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52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53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 t="s">
        <v>13</v>
      </c>
      <c r="B4" s="9" t="s">
        <v>54</v>
      </c>
      <c r="C4" s="9" t="s">
        <v>55</v>
      </c>
      <c r="D4" s="9" t="s">
        <v>56</v>
      </c>
      <c r="E4" s="1"/>
      <c r="F4" s="1"/>
    </row>
    <row r="5" spans="1:10">
      <c r="A5" s="10" t="s">
        <v>18</v>
      </c>
      <c r="B5" s="10" t="str">
        <f>SUMIFS(INDEX(course_data, 0, 16), INDEX(course_data, 0, 3), "=201610")</f>
        <v>0</v>
      </c>
      <c r="C5" s="10" t="str">
        <f>SUMIFS(INDEX(course_data, 0, 17), INDEX(course_data, 0, 3), "=201610")</f>
        <v>0</v>
      </c>
      <c r="D5" s="10" t="str">
        <f>IF(B5=0, 0, ROUND((B5/C5), 2))</f>
        <v>0</v>
      </c>
    </row>
    <row r="6" spans="1:10">
      <c r="A6" s="10" t="s">
        <v>19</v>
      </c>
      <c r="B6" s="11" t="str">
        <f>SUMIFS(INDEX(course_data, 0, 16), INDEX(course_data, 0, 3), "=201615")</f>
        <v>0</v>
      </c>
      <c r="C6" s="11" t="str">
        <f>SUMIFS(INDEX(course_data, 0, 17), INDEX(course_data, 0, 3), "=201615")</f>
        <v>0</v>
      </c>
      <c r="D6" s="11" t="str">
        <f>IF(B6=0, 0, ROUND((B6/C6), 2))</f>
        <v>0</v>
      </c>
    </row>
    <row r="7" spans="1:10">
      <c r="A7" s="10" t="s">
        <v>20</v>
      </c>
      <c r="B7" s="10" t="str">
        <f>SUMIFS(INDEX(course_data, 0, 16), INDEX(course_data, 0, 3), "=201620")</f>
        <v>0</v>
      </c>
      <c r="C7" s="10" t="str">
        <f>SUMIFS(INDEX(course_data, 0, 17), INDEX(course_data, 0, 3), "=201620")</f>
        <v>0</v>
      </c>
      <c r="D7" s="10" t="str">
        <f>IF(B7=0, 0, ROUND((B7/C7), 2))</f>
        <v>0</v>
      </c>
    </row>
    <row r="8" spans="1:10">
      <c r="A8" s="10" t="s">
        <v>21</v>
      </c>
      <c r="B8" s="11" t="str">
        <f>SUMIFS(INDEX(course_data, 0, 16), INDEX(course_data, 0, 3), "=201630")</f>
        <v>0</v>
      </c>
      <c r="C8" s="11" t="str">
        <f>SUMIFS(INDEX(course_data, 0, 17), INDEX(course_data, 0, 3), "=201630")</f>
        <v>0</v>
      </c>
      <c r="D8" s="11" t="str">
        <f>IF(B8=0, 0, ROUND((B8/C8), 2))</f>
        <v>0</v>
      </c>
    </row>
    <row r="9" spans="1:10">
      <c r="A9" s="10" t="s">
        <v>22</v>
      </c>
      <c r="B9" s="10" t="str">
        <f>SUMIFS(INDEX(course_data, 0, 16), INDEX(course_data, 0, 3), "=201710")</f>
        <v>0</v>
      </c>
      <c r="C9" s="10" t="str">
        <f>SUMIFS(INDEX(course_data, 0, 17), INDEX(course_data, 0, 3), "=201710")</f>
        <v>0</v>
      </c>
      <c r="D9" s="10" t="str">
        <f>IF(B9=0, 0, ROUND((B9/C9), 2))</f>
        <v>0</v>
      </c>
    </row>
    <row r="10" spans="1:10">
      <c r="A10" s="10" t="s">
        <v>23</v>
      </c>
      <c r="B10" s="11" t="str">
        <f>SUMIFS(INDEX(course_data, 0, 16), INDEX(course_data, 0, 3), "=201715")</f>
        <v>0</v>
      </c>
      <c r="C10" s="11" t="str">
        <f>SUMIFS(INDEX(course_data, 0, 17), INDEX(course_data, 0, 3), "=201715")</f>
        <v>0</v>
      </c>
      <c r="D10" s="11" t="str">
        <f>IF(B10=0, 0, ROUND((B10/C10), 2))</f>
        <v>0</v>
      </c>
    </row>
    <row r="11" spans="1:10">
      <c r="A11" s="10" t="s">
        <v>24</v>
      </c>
      <c r="B11" s="10" t="str">
        <f>SUMIFS(INDEX(course_data, 0, 16), INDEX(course_data, 0, 3), "=201720")</f>
        <v>0</v>
      </c>
      <c r="C11" s="10" t="str">
        <f>SUMIFS(INDEX(course_data, 0, 17), INDEX(course_data, 0, 3), "=201720")</f>
        <v>0</v>
      </c>
      <c r="D11" s="10" t="str">
        <f>IF(B11=0, 0, ROUND((B11/C11), 2))</f>
        <v>0</v>
      </c>
    </row>
    <row r="12" spans="1:10">
      <c r="A12" s="10" t="s">
        <v>25</v>
      </c>
      <c r="B12" s="11" t="str">
        <f>SUMIFS(INDEX(course_data, 0, 16), INDEX(course_data, 0, 3), "=201730")</f>
        <v>0</v>
      </c>
      <c r="C12" s="11" t="str">
        <f>SUMIFS(INDEX(course_data, 0, 17), INDEX(course_data, 0, 3), "=201730")</f>
        <v>0</v>
      </c>
      <c r="D12" s="11" t="str">
        <f>IF(B12=0, 0, ROUND((B12/C12), 2))</f>
        <v>0</v>
      </c>
    </row>
    <row r="13" spans="1:10">
      <c r="A13" s="10" t="s">
        <v>26</v>
      </c>
      <c r="B13" s="10" t="str">
        <f>SUMIFS(INDEX(course_data, 0, 16), INDEX(course_data, 0, 3), "=201810")</f>
        <v>0</v>
      </c>
      <c r="C13" s="10" t="str">
        <f>SUMIFS(INDEX(course_data, 0, 17), INDEX(course_data, 0, 3), "=201810")</f>
        <v>0</v>
      </c>
      <c r="D13" s="10" t="str">
        <f>IF(B13=0, 0, ROUND((B13/C13), 2))</f>
        <v>0</v>
      </c>
    </row>
    <row r="14" spans="1:10">
      <c r="A14" s="10" t="s">
        <v>27</v>
      </c>
      <c r="B14" s="11" t="str">
        <f>SUMIFS(INDEX(course_data, 0, 16), INDEX(course_data, 0, 3), "=201815")</f>
        <v>0</v>
      </c>
      <c r="C14" s="11" t="str">
        <f>SUMIFS(INDEX(course_data, 0, 17), INDEX(course_data, 0, 3), "=201815")</f>
        <v>0</v>
      </c>
      <c r="D14" s="11" t="str">
        <f>IF(B14=0, 0, ROUND((B14/C14), 2))</f>
        <v>0</v>
      </c>
    </row>
    <row r="15" spans="1:10">
      <c r="A15" s="10" t="s">
        <v>28</v>
      </c>
      <c r="B15" s="10" t="str">
        <f>SUMIFS(INDEX(course_data, 0, 16), INDEX(course_data, 0, 3), "=201820")</f>
        <v>0</v>
      </c>
      <c r="C15" s="10" t="str">
        <f>SUMIFS(INDEX(course_data, 0, 17), INDEX(course_data, 0, 3), "=201820")</f>
        <v>0</v>
      </c>
      <c r="D15" s="10" t="str">
        <f>IF(B15=0, 0, ROUND((B15/C15), 2))</f>
        <v>0</v>
      </c>
    </row>
    <row r="16" spans="1:10">
      <c r="A16" s="10" t="s">
        <v>29</v>
      </c>
      <c r="B16" s="11" t="str">
        <f>SUMIFS(INDEX(course_data, 0, 16), INDEX(course_data, 0, 3), "=201830")</f>
        <v>0</v>
      </c>
      <c r="C16" s="11" t="str">
        <f>SUMIFS(INDEX(course_data, 0, 17), INDEX(course_data, 0, 3), "=201830")</f>
        <v>0</v>
      </c>
      <c r="D16" s="11" t="str">
        <f>IF(B16=0, 0, ROUND((B16/C16), 2))</f>
        <v>0</v>
      </c>
    </row>
    <row r="19" spans="1:10">
      <c r="A19" s="9" t="s">
        <v>31</v>
      </c>
      <c r="B19" s="9" t="s">
        <v>54</v>
      </c>
      <c r="C19" s="9" t="s">
        <v>55</v>
      </c>
      <c r="D19" s="9" t="s">
        <v>56</v>
      </c>
      <c r="E19" s="1"/>
      <c r="F19" s="1"/>
    </row>
    <row r="20" spans="1:10">
      <c r="A20" s="10" t="s">
        <v>57</v>
      </c>
      <c r="B20" s="11" t="str">
        <f>SUMIFS(INDEX(course_data, 0, 16), INDEX(course_data, 0, 1), "=2015-2016")</f>
        <v>0</v>
      </c>
      <c r="C20" s="11" t="str">
        <f>SUMIFS(INDEX(course_data, 0, 17), INDEX(course_data, 0, 1), "=2015-2016")</f>
        <v>0</v>
      </c>
      <c r="D20" s="11" t="str">
        <f>IF(B20=0, 0, ROUND((B20/C20), 2))</f>
        <v>0</v>
      </c>
    </row>
    <row r="21" spans="1:10">
      <c r="A21" s="10" t="s">
        <v>58</v>
      </c>
      <c r="B21" s="10" t="str">
        <f>SUMIFS(INDEX(course_data, 0, 16), INDEX(course_data, 0, 1), "=2016-2017")</f>
        <v>0</v>
      </c>
      <c r="C21" s="10" t="str">
        <f>SUMIFS(INDEX(course_data, 0, 17), INDEX(course_data, 0, 1), "=2016-2017")</f>
        <v>0</v>
      </c>
      <c r="D21" s="10" t="str">
        <f>IF(B21=0, 0, ROUND((B21/C21), 2))</f>
        <v>0</v>
      </c>
    </row>
    <row r="22" spans="1:10">
      <c r="A22" s="10" t="s">
        <v>1</v>
      </c>
      <c r="B22" s="11" t="str">
        <f>SUMIFS(INDEX(course_data, 0, 16), INDEX(course_data, 0, 1), "=2017-2018")</f>
        <v>0</v>
      </c>
      <c r="C22" s="11" t="str">
        <f>SUMIFS(INDEX(course_data, 0, 17), INDEX(course_data, 0, 1), "=2017-2018")</f>
        <v>0</v>
      </c>
      <c r="D22" s="11" t="str">
        <f>IF(B22=0, 0, ROUND((B22/C22), 2))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s="19" t="s">
        <v>37</v>
      </c>
      <c r="D30"/>
      <c r="E30"/>
      <c r="F30"/>
      <c r="G30"/>
      <c r="H30"/>
      <c r="I30"/>
      <c r="J30"/>
    </row>
    <row r="31" spans="1:10" customHeight="1" ht="40">
      <c r="A31" s="20" t="s">
        <v>59</v>
      </c>
      <c r="B31" s="18"/>
      <c r="C31" s="21" t="s">
        <v>60</v>
      </c>
      <c r="D31"/>
      <c r="E31"/>
      <c r="F31"/>
      <c r="G31"/>
      <c r="H31"/>
      <c r="I31"/>
      <c r="J31"/>
    </row>
    <row r="32" spans="1:10" customHeight="1" ht="30">
      <c r="A32" s="20" t="s">
        <v>61</v>
      </c>
      <c r="B32" s="18"/>
      <c r="C32" s="21" t="s">
        <v>62</v>
      </c>
      <c r="D32"/>
      <c r="E32"/>
      <c r="F32"/>
      <c r="G32"/>
      <c r="H32"/>
      <c r="I32"/>
      <c r="J32"/>
    </row>
    <row r="33" spans="1:10" customHeight="1" ht="30">
      <c r="A33" s="22" t="s">
        <v>63</v>
      </c>
      <c r="B33" s="18"/>
      <c r="C33" s="21" t="s">
        <v>64</v>
      </c>
      <c r="D33"/>
      <c r="E33"/>
      <c r="F33"/>
      <c r="G33"/>
      <c r="H33"/>
      <c r="I33"/>
      <c r="J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WE&amp;RPrinted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6"/>
  <sheetViews>
    <sheetView tabSelected="0" workbookViewId="0" showGridLines="true" showRowColHeaders="1">
      <selection activeCell="A36" sqref="A36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65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66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A5" s="9" t="s">
        <v>13</v>
      </c>
      <c r="B5" s="9" t="s">
        <v>67</v>
      </c>
      <c r="C5" s="9" t="s">
        <v>68</v>
      </c>
      <c r="D5" s="9" t="s">
        <v>69</v>
      </c>
      <c r="E5" s="9" t="s">
        <v>67</v>
      </c>
      <c r="F5" s="9" t="s">
        <v>68</v>
      </c>
      <c r="G5" s="9" t="s">
        <v>69</v>
      </c>
      <c r="H5" s="9" t="s">
        <v>67</v>
      </c>
      <c r="I5" s="9" t="s">
        <v>68</v>
      </c>
      <c r="J5" s="9" t="s">
        <v>69</v>
      </c>
    </row>
    <row r="6" spans="1:10">
      <c r="A6" s="10" t="s">
        <v>18</v>
      </c>
      <c r="B6" s="11" t="str">
        <f>SUMIFS(INDEX(course_data, 0, 10), INDEX(course_data, 0, 3), "=201610", INDEX(course_data, 0, 6), "=day")</f>
        <v>0</v>
      </c>
      <c r="C6" s="12" t="str">
        <f>IF(B6=0, 0, ((SUMIFS(INDEX(course_data, 0, 11), INDEX(course_data, 0, 3), "=201610", INDEX(course_data, 0, 6), "=day"))/B6))</f>
        <v>0</v>
      </c>
      <c r="D6" s="12" t="str">
        <f>IF(B6=0, 0, ((SUMIFS(INDEX(course_data, 0, 13), INDEX(course_data, 0, 3), "=201610", INDEX(course_data, 0, 6), "=day"))/B6))</f>
        <v>0</v>
      </c>
      <c r="E6" s="11" t="str">
        <f>SUMIFS(INDEX(course_data, 0, 10), INDEX(course_data, 0, 3), "=201610", INDEX(course_data, 0, 6), "=ex_day")</f>
        <v>0</v>
      </c>
      <c r="F6" s="12" t="str">
        <f>IF(E6=0, 0, ((SUMIFS(INDEX(course_data, 0, 11), INDEX(course_data, 0, 3), "=201610", INDEX(course_data, 0, 6), "=ex_day"))/E6))</f>
        <v>0</v>
      </c>
      <c r="G6" s="12" t="str">
        <f>IF(E6=0, 0, ((SUMIFS(INDEX(course_data, 0, 13), INDEX(course_data, 0, 3), "=201610", INDEX(course_data, 0, 6), "=ex_day"))/E6))</f>
        <v>0</v>
      </c>
      <c r="H6" s="11" t="str">
        <f>SUMIFS(INDEX(course_data, 0, 10), INDEX(course_data, 0, 3), "=201610", INDEX(course_data, 0, 6), "=online")</f>
        <v>0</v>
      </c>
      <c r="I6" s="12" t="str">
        <f>IF(H6=0, 0, ((SUMIFS(INDEX(course_data, 0, 11), INDEX(course_data, 0, 3), "=201610", INDEX(course_data, 0, 6), "=online"))/H6))</f>
        <v>0</v>
      </c>
      <c r="J6" s="12" t="str">
        <f>IF(H6=0, 0, ((SUMIFS(INDEX(course_data, 0, 13), INDEX(course_data, 0, 3), "=201610", INDEX(course_data, 0, 6), "=online"))/H6))</f>
        <v>0</v>
      </c>
    </row>
    <row r="7" spans="1:10">
      <c r="A7" s="10" t="s">
        <v>19</v>
      </c>
      <c r="B7" s="10" t="str">
        <f>SUMIFS(INDEX(course_data, 0, 10), INDEX(course_data, 0, 3), "=201615", INDEX(course_data, 0, 6), "=day")</f>
        <v>0</v>
      </c>
      <c r="C7" s="13" t="str">
        <f>IF(B7=0, 0, ((SUMIFS(INDEX(course_data, 0, 11), INDEX(course_data, 0, 3), "=201615", INDEX(course_data, 0, 6), "=day"))/B7))</f>
        <v>0</v>
      </c>
      <c r="D7" s="13" t="str">
        <f>IF(B7=0, 0, ((SUMIFS(INDEX(course_data, 0, 13), INDEX(course_data, 0, 3), "=201615", INDEX(course_data, 0, 6), "=day"))/B7))</f>
        <v>0</v>
      </c>
      <c r="E7" s="10" t="str">
        <f>SUMIFS(INDEX(course_data, 0, 10), INDEX(course_data, 0, 3), "=201615", INDEX(course_data, 0, 6), "=ex_day")</f>
        <v>0</v>
      </c>
      <c r="F7" s="13" t="str">
        <f>IF(E7=0, 0, ((SUMIFS(INDEX(course_data, 0, 11), INDEX(course_data, 0, 3), "=201615", INDEX(course_data, 0, 6), "=ex_day"))/E7))</f>
        <v>0</v>
      </c>
      <c r="G7" s="13" t="str">
        <f>IF(E7=0, 0, ((SUMIFS(INDEX(course_data, 0, 13), INDEX(course_data, 0, 3), "=201615", INDEX(course_data, 0, 6), "=ex_day"))/E7))</f>
        <v>0</v>
      </c>
      <c r="H7" s="10" t="str">
        <f>SUMIFS(INDEX(course_data, 0, 10), INDEX(course_data, 0, 3), "=201615", INDEX(course_data, 0, 6), "=online")</f>
        <v>0</v>
      </c>
      <c r="I7" s="13" t="str">
        <f>IF(H7=0, 0, ((SUMIFS(INDEX(course_data, 0, 11), INDEX(course_data, 0, 3), "=201615", INDEX(course_data, 0, 6), "=online"))/H7))</f>
        <v>0</v>
      </c>
      <c r="J7" s="13" t="str">
        <f>IF(H7=0, 0, ((SUMIFS(INDEX(course_data, 0, 13), INDEX(course_data, 0, 3), "=201615", INDEX(course_data, 0, 6), "=online"))/H7))</f>
        <v>0</v>
      </c>
    </row>
    <row r="8" spans="1:10">
      <c r="A8" s="10" t="s">
        <v>20</v>
      </c>
      <c r="B8" s="11" t="str">
        <f>SUMIFS(INDEX(course_data, 0, 10), INDEX(course_data, 0, 3), "=201620", INDEX(course_data, 0, 6), "=day")</f>
        <v>0</v>
      </c>
      <c r="C8" s="12" t="str">
        <f>IF(B8=0, 0, ((SUMIFS(INDEX(course_data, 0, 11), INDEX(course_data, 0, 3), "=201620", INDEX(course_data, 0, 6), "=day"))/B8))</f>
        <v>0</v>
      </c>
      <c r="D8" s="12" t="str">
        <f>IF(B8=0, 0, ((SUMIFS(INDEX(course_data, 0, 13), INDEX(course_data, 0, 3), "=201620", INDEX(course_data, 0, 6), "=day"))/B8))</f>
        <v>0</v>
      </c>
      <c r="E8" s="11" t="str">
        <f>SUMIFS(INDEX(course_data, 0, 10), INDEX(course_data, 0, 3), "=201620", INDEX(course_data, 0, 6), "=ex_day")</f>
        <v>0</v>
      </c>
      <c r="F8" s="12" t="str">
        <f>IF(E8=0, 0, ((SUMIFS(INDEX(course_data, 0, 11), INDEX(course_data, 0, 3), "=201620", INDEX(course_data, 0, 6), "=ex_day"))/E8))</f>
        <v>0</v>
      </c>
      <c r="G8" s="12" t="str">
        <f>IF(E8=0, 0, ((SUMIFS(INDEX(course_data, 0, 13), INDEX(course_data, 0, 3), "=201620", INDEX(course_data, 0, 6), "=ex_day"))/E8))</f>
        <v>0</v>
      </c>
      <c r="H8" s="11" t="str">
        <f>SUMIFS(INDEX(course_data, 0, 10), INDEX(course_data, 0, 3), "=201620", INDEX(course_data, 0, 6), "=online")</f>
        <v>0</v>
      </c>
      <c r="I8" s="12" t="str">
        <f>IF(H8=0, 0, ((SUMIFS(INDEX(course_data, 0, 11), INDEX(course_data, 0, 3), "=201620", INDEX(course_data, 0, 6), "=online"))/H8))</f>
        <v>0</v>
      </c>
      <c r="J8" s="12" t="str">
        <f>IF(H8=0, 0, ((SUMIFS(INDEX(course_data, 0, 13), INDEX(course_data, 0, 3), "=201620", INDEX(course_data, 0, 6), "=online"))/H8))</f>
        <v>0</v>
      </c>
    </row>
    <row r="9" spans="1:10">
      <c r="A9" s="10" t="s">
        <v>21</v>
      </c>
      <c r="B9" s="10" t="str">
        <f>SUMIFS(INDEX(course_data, 0, 10), INDEX(course_data, 0, 3), "=201630", INDEX(course_data, 0, 6), "=day")</f>
        <v>0</v>
      </c>
      <c r="C9" s="13" t="str">
        <f>IF(B9=0, 0, ((SUMIFS(INDEX(course_data, 0, 11), INDEX(course_data, 0, 3), "=201630", INDEX(course_data, 0, 6), "=day"))/B9))</f>
        <v>0</v>
      </c>
      <c r="D9" s="13" t="str">
        <f>IF(B9=0, 0, ((SUMIFS(INDEX(course_data, 0, 13), INDEX(course_data, 0, 3), "=201630", INDEX(course_data, 0, 6), "=day"))/B9))</f>
        <v>0</v>
      </c>
      <c r="E9" s="10" t="str">
        <f>SUMIFS(INDEX(course_data, 0, 10), INDEX(course_data, 0, 3), "=201630", INDEX(course_data, 0, 6), "=ex_day")</f>
        <v>0</v>
      </c>
      <c r="F9" s="13" t="str">
        <f>IF(E9=0, 0, ((SUMIFS(INDEX(course_data, 0, 11), INDEX(course_data, 0, 3), "=201630", INDEX(course_data, 0, 6), "=ex_day"))/E9))</f>
        <v>0</v>
      </c>
      <c r="G9" s="13" t="str">
        <f>IF(E9=0, 0, ((SUMIFS(INDEX(course_data, 0, 13), INDEX(course_data, 0, 3), "=201630", INDEX(course_data, 0, 6), "=ex_day"))/E9))</f>
        <v>0</v>
      </c>
      <c r="H9" s="10" t="str">
        <f>SUMIFS(INDEX(course_data, 0, 10), INDEX(course_data, 0, 3), "=201630", INDEX(course_data, 0, 6), "=online")</f>
        <v>0</v>
      </c>
      <c r="I9" s="13" t="str">
        <f>IF(H9=0, 0, ((SUMIFS(INDEX(course_data, 0, 11), INDEX(course_data, 0, 3), "=201630", INDEX(course_data, 0, 6), "=online"))/H9))</f>
        <v>0</v>
      </c>
      <c r="J9" s="13" t="str">
        <f>IF(H9=0, 0, ((SUMIFS(INDEX(course_data, 0, 13), INDEX(course_data, 0, 3), "=201630", INDEX(course_data, 0, 6), "=online"))/H9))</f>
        <v>0</v>
      </c>
    </row>
    <row r="10" spans="1:10">
      <c r="A10" s="10" t="s">
        <v>22</v>
      </c>
      <c r="B10" s="11" t="str">
        <f>SUMIFS(INDEX(course_data, 0, 10), INDEX(course_data, 0, 3), "=201710", INDEX(course_data, 0, 6), "=day")</f>
        <v>0</v>
      </c>
      <c r="C10" s="12" t="str">
        <f>IF(B10=0, 0, ((SUMIFS(INDEX(course_data, 0, 11), INDEX(course_data, 0, 3), "=201710", INDEX(course_data, 0, 6), "=day"))/B10))</f>
        <v>0</v>
      </c>
      <c r="D10" s="12" t="str">
        <f>IF(B10=0, 0, ((SUMIFS(INDEX(course_data, 0, 13), INDEX(course_data, 0, 3), "=201710", INDEX(course_data, 0, 6), "=day"))/B10))</f>
        <v>0</v>
      </c>
      <c r="E10" s="11" t="str">
        <f>SUMIFS(INDEX(course_data, 0, 10), INDEX(course_data, 0, 3), "=201710", INDEX(course_data, 0, 6), "=ex_day")</f>
        <v>0</v>
      </c>
      <c r="F10" s="12" t="str">
        <f>IF(E10=0, 0, ((SUMIFS(INDEX(course_data, 0, 11), INDEX(course_data, 0, 3), "=201710", INDEX(course_data, 0, 6), "=ex_day"))/E10))</f>
        <v>0</v>
      </c>
      <c r="G10" s="12" t="str">
        <f>IF(E10=0, 0, ((SUMIFS(INDEX(course_data, 0, 13), INDEX(course_data, 0, 3), "=201710", INDEX(course_data, 0, 6), "=ex_day"))/E10))</f>
        <v>0</v>
      </c>
      <c r="H10" s="11" t="str">
        <f>SUMIFS(INDEX(course_data, 0, 10), INDEX(course_data, 0, 3), "=201710", INDEX(course_data, 0, 6), "=online")</f>
        <v>0</v>
      </c>
      <c r="I10" s="12" t="str">
        <f>IF(H10=0, 0, ((SUMIFS(INDEX(course_data, 0, 11), INDEX(course_data, 0, 3), "=201710", INDEX(course_data, 0, 6), "=online"))/H10))</f>
        <v>0</v>
      </c>
      <c r="J10" s="12" t="str">
        <f>IF(H10=0, 0, ((SUMIFS(INDEX(course_data, 0, 13), INDEX(course_data, 0, 3), "=201710", INDEX(course_data, 0, 6), "=online"))/H10))</f>
        <v>0</v>
      </c>
    </row>
    <row r="11" spans="1:10">
      <c r="A11" s="10" t="s">
        <v>23</v>
      </c>
      <c r="B11" s="10" t="str">
        <f>SUMIFS(INDEX(course_data, 0, 10), INDEX(course_data, 0, 3), "=201715", INDEX(course_data, 0, 6), "=day")</f>
        <v>0</v>
      </c>
      <c r="C11" s="13" t="str">
        <f>IF(B11=0, 0, ((SUMIFS(INDEX(course_data, 0, 11), INDEX(course_data, 0, 3), "=201715", INDEX(course_data, 0, 6), "=day"))/B11))</f>
        <v>0</v>
      </c>
      <c r="D11" s="13" t="str">
        <f>IF(B11=0, 0, ((SUMIFS(INDEX(course_data, 0, 13), INDEX(course_data, 0, 3), "=201715", INDEX(course_data, 0, 6), "=day"))/B11))</f>
        <v>0</v>
      </c>
      <c r="E11" s="10" t="str">
        <f>SUMIFS(INDEX(course_data, 0, 10), INDEX(course_data, 0, 3), "=201715", INDEX(course_data, 0, 6), "=ex_day")</f>
        <v>0</v>
      </c>
      <c r="F11" s="13" t="str">
        <f>IF(E11=0, 0, ((SUMIFS(INDEX(course_data, 0, 11), INDEX(course_data, 0, 3), "=201715", INDEX(course_data, 0, 6), "=ex_day"))/E11))</f>
        <v>0</v>
      </c>
      <c r="G11" s="13" t="str">
        <f>IF(E11=0, 0, ((SUMIFS(INDEX(course_data, 0, 13), INDEX(course_data, 0, 3), "=201715", INDEX(course_data, 0, 6), "=ex_day"))/E11))</f>
        <v>0</v>
      </c>
      <c r="H11" s="10" t="str">
        <f>SUMIFS(INDEX(course_data, 0, 10), INDEX(course_data, 0, 3), "=201715", INDEX(course_data, 0, 6), "=online")</f>
        <v>0</v>
      </c>
      <c r="I11" s="13" t="str">
        <f>IF(H11=0, 0, ((SUMIFS(INDEX(course_data, 0, 11), INDEX(course_data, 0, 3), "=201715", INDEX(course_data, 0, 6), "=online"))/H11))</f>
        <v>0</v>
      </c>
      <c r="J11" s="13" t="str">
        <f>IF(H11=0, 0, ((SUMIFS(INDEX(course_data, 0, 13), INDEX(course_data, 0, 3), "=201715", INDEX(course_data, 0, 6), "=online"))/H11))</f>
        <v>0</v>
      </c>
    </row>
    <row r="12" spans="1:10">
      <c r="A12" s="10" t="s">
        <v>24</v>
      </c>
      <c r="B12" s="11" t="str">
        <f>SUMIFS(INDEX(course_data, 0, 10), INDEX(course_data, 0, 3), "=201720", INDEX(course_data, 0, 6), "=day")</f>
        <v>0</v>
      </c>
      <c r="C12" s="12" t="str">
        <f>IF(B12=0, 0, ((SUMIFS(INDEX(course_data, 0, 11), INDEX(course_data, 0, 3), "=201720", INDEX(course_data, 0, 6), "=day"))/B12))</f>
        <v>0</v>
      </c>
      <c r="D12" s="12" t="str">
        <f>IF(B12=0, 0, ((SUMIFS(INDEX(course_data, 0, 13), INDEX(course_data, 0, 3), "=201720", INDEX(course_data, 0, 6), "=day"))/B12))</f>
        <v>0</v>
      </c>
      <c r="E12" s="11" t="str">
        <f>SUMIFS(INDEX(course_data, 0, 10), INDEX(course_data, 0, 3), "=201720", INDEX(course_data, 0, 6), "=ex_day")</f>
        <v>0</v>
      </c>
      <c r="F12" s="12" t="str">
        <f>IF(E12=0, 0, ((SUMIFS(INDEX(course_data, 0, 11), INDEX(course_data, 0, 3), "=201720", INDEX(course_data, 0, 6), "=ex_day"))/E12))</f>
        <v>0</v>
      </c>
      <c r="G12" s="12" t="str">
        <f>IF(E12=0, 0, ((SUMIFS(INDEX(course_data, 0, 13), INDEX(course_data, 0, 3), "=201720", INDEX(course_data, 0, 6), "=ex_day"))/E12))</f>
        <v>0</v>
      </c>
      <c r="H12" s="11" t="str">
        <f>SUMIFS(INDEX(course_data, 0, 10), INDEX(course_data, 0, 3), "=201720", INDEX(course_data, 0, 6), "=online")</f>
        <v>0</v>
      </c>
      <c r="I12" s="12" t="str">
        <f>IF(H12=0, 0, ((SUMIFS(INDEX(course_data, 0, 11), INDEX(course_data, 0, 3), "=201720", INDEX(course_data, 0, 6), "=online"))/H12))</f>
        <v>0</v>
      </c>
      <c r="J12" s="12" t="str">
        <f>IF(H12=0, 0, ((SUMIFS(INDEX(course_data, 0, 13), INDEX(course_data, 0, 3), "=201720", INDEX(course_data, 0, 6), "=online"))/H12))</f>
        <v>0</v>
      </c>
    </row>
    <row r="13" spans="1:10">
      <c r="A13" s="10" t="s">
        <v>25</v>
      </c>
      <c r="B13" s="10" t="str">
        <f>SUMIFS(INDEX(course_data, 0, 10), INDEX(course_data, 0, 3), "=201730", INDEX(course_data, 0, 6), "=day")</f>
        <v>0</v>
      </c>
      <c r="C13" s="13" t="str">
        <f>IF(B13=0, 0, ((SUMIFS(INDEX(course_data, 0, 11), INDEX(course_data, 0, 3), "=201730", INDEX(course_data, 0, 6), "=day"))/B13))</f>
        <v>0</v>
      </c>
      <c r="D13" s="13" t="str">
        <f>IF(B13=0, 0, ((SUMIFS(INDEX(course_data, 0, 13), INDEX(course_data, 0, 3), "=201730", INDEX(course_data, 0, 6), "=day"))/B13))</f>
        <v>0</v>
      </c>
      <c r="E13" s="10" t="str">
        <f>SUMIFS(INDEX(course_data, 0, 10), INDEX(course_data, 0, 3), "=201730", INDEX(course_data, 0, 6), "=ex_day")</f>
        <v>0</v>
      </c>
      <c r="F13" s="13" t="str">
        <f>IF(E13=0, 0, ((SUMIFS(INDEX(course_data, 0, 11), INDEX(course_data, 0, 3), "=201730", INDEX(course_data, 0, 6), "=ex_day"))/E13))</f>
        <v>0</v>
      </c>
      <c r="G13" s="13" t="str">
        <f>IF(E13=0, 0, ((SUMIFS(INDEX(course_data, 0, 13), INDEX(course_data, 0, 3), "=201730", INDEX(course_data, 0, 6), "=ex_day"))/E13))</f>
        <v>0</v>
      </c>
      <c r="H13" s="10" t="str">
        <f>SUMIFS(INDEX(course_data, 0, 10), INDEX(course_data, 0, 3), "=201730", INDEX(course_data, 0, 6), "=online")</f>
        <v>0</v>
      </c>
      <c r="I13" s="13" t="str">
        <f>IF(H13=0, 0, ((SUMIFS(INDEX(course_data, 0, 11), INDEX(course_data, 0, 3), "=201730", INDEX(course_data, 0, 6), "=online"))/H13))</f>
        <v>0</v>
      </c>
      <c r="J13" s="13" t="str">
        <f>IF(H13=0, 0, ((SUMIFS(INDEX(course_data, 0, 13), INDEX(course_data, 0, 3), "=201730", INDEX(course_data, 0, 6), "=online"))/H13))</f>
        <v>0</v>
      </c>
    </row>
    <row r="14" spans="1:10">
      <c r="A14" s="10" t="s">
        <v>26</v>
      </c>
      <c r="B14" s="11" t="str">
        <f>SUMIFS(INDEX(course_data, 0, 10), INDEX(course_data, 0, 3), "=201810", INDEX(course_data, 0, 6), "=day")</f>
        <v>0</v>
      </c>
      <c r="C14" s="12" t="str">
        <f>IF(B14=0, 0, ((SUMIFS(INDEX(course_data, 0, 11), INDEX(course_data, 0, 3), "=201810", INDEX(course_data, 0, 6), "=day"))/B14))</f>
        <v>0</v>
      </c>
      <c r="D14" s="12" t="str">
        <f>IF(B14=0, 0, ((SUMIFS(INDEX(course_data, 0, 13), INDEX(course_data, 0, 3), "=201810", INDEX(course_data, 0, 6), "=day"))/B14))</f>
        <v>0</v>
      </c>
      <c r="E14" s="11" t="str">
        <f>SUMIFS(INDEX(course_data, 0, 10), INDEX(course_data, 0, 3), "=201810", INDEX(course_data, 0, 6), "=ex_day")</f>
        <v>0</v>
      </c>
      <c r="F14" s="12" t="str">
        <f>IF(E14=0, 0, ((SUMIFS(INDEX(course_data, 0, 11), INDEX(course_data, 0, 3), "=201810", INDEX(course_data, 0, 6), "=ex_day"))/E14))</f>
        <v>0</v>
      </c>
      <c r="G14" s="12" t="str">
        <f>IF(E14=0, 0, ((SUMIFS(INDEX(course_data, 0, 13), INDEX(course_data, 0, 3), "=201810", INDEX(course_data, 0, 6), "=ex_day"))/E14))</f>
        <v>0</v>
      </c>
      <c r="H14" s="11" t="str">
        <f>SUMIFS(INDEX(course_data, 0, 10), INDEX(course_data, 0, 3), "=201810", INDEX(course_data, 0, 6), "=online")</f>
        <v>0</v>
      </c>
      <c r="I14" s="12" t="str">
        <f>IF(H14=0, 0, ((SUMIFS(INDEX(course_data, 0, 11), INDEX(course_data, 0, 3), "=201810", INDEX(course_data, 0, 6), "=online"))/H14))</f>
        <v>0</v>
      </c>
      <c r="J14" s="12" t="str">
        <f>IF(H14=0, 0, ((SUMIFS(INDEX(course_data, 0, 13), INDEX(course_data, 0, 3), "=201810", INDEX(course_data, 0, 6), "=online"))/H14))</f>
        <v>0</v>
      </c>
    </row>
    <row r="15" spans="1:10">
      <c r="A15" s="10" t="s">
        <v>27</v>
      </c>
      <c r="B15" s="10" t="str">
        <f>SUMIFS(INDEX(course_data, 0, 10), INDEX(course_data, 0, 3), "=201815", INDEX(course_data, 0, 6), "=day")</f>
        <v>0</v>
      </c>
      <c r="C15" s="13" t="str">
        <f>IF(B15=0, 0, ((SUMIFS(INDEX(course_data, 0, 11), INDEX(course_data, 0, 3), "=201815", INDEX(course_data, 0, 6), "=day"))/B15))</f>
        <v>0</v>
      </c>
      <c r="D15" s="13" t="str">
        <f>IF(B15=0, 0, ((SUMIFS(INDEX(course_data, 0, 13), INDEX(course_data, 0, 3), "=201815", INDEX(course_data, 0, 6), "=day"))/B15))</f>
        <v>0</v>
      </c>
      <c r="E15" s="10" t="str">
        <f>SUMIFS(INDEX(course_data, 0, 10), INDEX(course_data, 0, 3), "=201815", INDEX(course_data, 0, 6), "=ex_day")</f>
        <v>0</v>
      </c>
      <c r="F15" s="13" t="str">
        <f>IF(E15=0, 0, ((SUMIFS(INDEX(course_data, 0, 11), INDEX(course_data, 0, 3), "=201815", INDEX(course_data, 0, 6), "=ex_day"))/E15))</f>
        <v>0</v>
      </c>
      <c r="G15" s="13" t="str">
        <f>IF(E15=0, 0, ((SUMIFS(INDEX(course_data, 0, 13), INDEX(course_data, 0, 3), "=201815", INDEX(course_data, 0, 6), "=ex_day"))/E15))</f>
        <v>0</v>
      </c>
      <c r="H15" s="10" t="str">
        <f>SUMIFS(INDEX(course_data, 0, 10), INDEX(course_data, 0, 3), "=201815", INDEX(course_data, 0, 6), "=online")</f>
        <v>0</v>
      </c>
      <c r="I15" s="13" t="str">
        <f>IF(H15=0, 0, ((SUMIFS(INDEX(course_data, 0, 11), INDEX(course_data, 0, 3), "=201815", INDEX(course_data, 0, 6), "=online"))/H15))</f>
        <v>0</v>
      </c>
      <c r="J15" s="13" t="str">
        <f>IF(H15=0, 0, ((SUMIFS(INDEX(course_data, 0, 13), INDEX(course_data, 0, 3), "=201815", INDEX(course_data, 0, 6), "=online"))/H15))</f>
        <v>0</v>
      </c>
    </row>
    <row r="16" spans="1:10">
      <c r="A16" s="10" t="s">
        <v>28</v>
      </c>
      <c r="B16" s="11" t="str">
        <f>SUMIFS(INDEX(course_data, 0, 10), INDEX(course_data, 0, 3), "=201820", INDEX(course_data, 0, 6), "=day")</f>
        <v>0</v>
      </c>
      <c r="C16" s="12" t="str">
        <f>IF(B16=0, 0, ((SUMIFS(INDEX(course_data, 0, 11), INDEX(course_data, 0, 3), "=201820", INDEX(course_data, 0, 6), "=day"))/B16))</f>
        <v>0</v>
      </c>
      <c r="D16" s="12" t="str">
        <f>IF(B16=0, 0, ((SUMIFS(INDEX(course_data, 0, 13), INDEX(course_data, 0, 3), "=201820", INDEX(course_data, 0, 6), "=day"))/B16))</f>
        <v>0</v>
      </c>
      <c r="E16" s="11" t="str">
        <f>SUMIFS(INDEX(course_data, 0, 10), INDEX(course_data, 0, 3), "=201820", INDEX(course_data, 0, 6), "=ex_day")</f>
        <v>0</v>
      </c>
      <c r="F16" s="12" t="str">
        <f>IF(E16=0, 0, ((SUMIFS(INDEX(course_data, 0, 11), INDEX(course_data, 0, 3), "=201820", INDEX(course_data, 0, 6), "=ex_day"))/E16))</f>
        <v>0</v>
      </c>
      <c r="G16" s="12" t="str">
        <f>IF(E16=0, 0, ((SUMIFS(INDEX(course_data, 0, 13), INDEX(course_data, 0, 3), "=201820", INDEX(course_data, 0, 6), "=ex_day"))/E16))</f>
        <v>0</v>
      </c>
      <c r="H16" s="11" t="str">
        <f>SUMIFS(INDEX(course_data, 0, 10), INDEX(course_data, 0, 3), "=201820", INDEX(course_data, 0, 6), "=online")</f>
        <v>0</v>
      </c>
      <c r="I16" s="12" t="str">
        <f>IF(H16=0, 0, ((SUMIFS(INDEX(course_data, 0, 11), INDEX(course_data, 0, 3), "=201820", INDEX(course_data, 0, 6), "=online"))/H16))</f>
        <v>0</v>
      </c>
      <c r="J16" s="12" t="str">
        <f>IF(H16=0, 0, ((SUMIFS(INDEX(course_data, 0, 13), INDEX(course_data, 0, 3), "=201820", INDEX(course_data, 0, 6), "=online"))/H16))</f>
        <v>0</v>
      </c>
    </row>
    <row r="17" spans="1:10">
      <c r="A17" s="10" t="s">
        <v>29</v>
      </c>
      <c r="B17" s="10" t="str">
        <f>SUMIFS(INDEX(course_data, 0, 10), INDEX(course_data, 0, 3), "=201830", INDEX(course_data, 0, 6), "=day")</f>
        <v>0</v>
      </c>
      <c r="C17" s="13" t="str">
        <f>IF(B17=0, 0, ((SUMIFS(INDEX(course_data, 0, 11), INDEX(course_data, 0, 3), "=201830", INDEX(course_data, 0, 6), "=day"))/B17))</f>
        <v>0</v>
      </c>
      <c r="D17" s="13" t="str">
        <f>IF(B17=0, 0, ((SUMIFS(INDEX(course_data, 0, 13), INDEX(course_data, 0, 3), "=201830", INDEX(course_data, 0, 6), "=day"))/B17))</f>
        <v>0</v>
      </c>
      <c r="E17" s="10" t="str">
        <f>SUMIFS(INDEX(course_data, 0, 10), INDEX(course_data, 0, 3), "=201830", INDEX(course_data, 0, 6), "=ex_day")</f>
        <v>0</v>
      </c>
      <c r="F17" s="13" t="str">
        <f>IF(E17=0, 0, ((SUMIFS(INDEX(course_data, 0, 11), INDEX(course_data, 0, 3), "=201830", INDEX(course_data, 0, 6), "=ex_day"))/E17))</f>
        <v>0</v>
      </c>
      <c r="G17" s="13" t="str">
        <f>IF(E17=0, 0, ((SUMIFS(INDEX(course_data, 0, 13), INDEX(course_data, 0, 3), "=201830", INDEX(course_data, 0, 6), "=ex_day"))/E17))</f>
        <v>0</v>
      </c>
      <c r="H17" s="10" t="str">
        <f>SUMIFS(INDEX(course_data, 0, 10), INDEX(course_data, 0, 3), "=201830", INDEX(course_data, 0, 6), "=online")</f>
        <v>0</v>
      </c>
      <c r="I17" s="13" t="str">
        <f>IF(H17=0, 0, ((SUMIFS(INDEX(course_data, 0, 11), INDEX(course_data, 0, 3), "=201830", INDEX(course_data, 0, 6), "=online"))/H17))</f>
        <v>0</v>
      </c>
      <c r="J17" s="13" t="str">
        <f>IF(H17=0, 0, ((SUMIFS(INDEX(course_data, 0, 13), INDEX(course_data, 0, 3), "=201830", INDEX(course_data, 0, 6), "=online"))/H17))</f>
        <v>0</v>
      </c>
    </row>
    <row r="18" spans="1:10">
      <c r="A18" s="14" t="s">
        <v>30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</row>
    <row r="20" spans="1:10">
      <c r="B20" s="9" t="s">
        <v>10</v>
      </c>
      <c r="C20" s="9"/>
      <c r="D20" s="9"/>
      <c r="E20" s="9" t="s">
        <v>11</v>
      </c>
      <c r="F20" s="9"/>
      <c r="G20" s="9"/>
      <c r="H20" s="9" t="s">
        <v>12</v>
      </c>
      <c r="I20" s="9"/>
      <c r="J20" s="9"/>
    </row>
    <row r="21" spans="1:10">
      <c r="A21" s="9" t="s">
        <v>31</v>
      </c>
      <c r="B21" s="9" t="s">
        <v>67</v>
      </c>
      <c r="C21" s="9" t="s">
        <v>68</v>
      </c>
      <c r="D21" s="9" t="s">
        <v>69</v>
      </c>
      <c r="E21" s="9" t="s">
        <v>67</v>
      </c>
      <c r="F21" s="9" t="s">
        <v>68</v>
      </c>
      <c r="G21" s="9" t="s">
        <v>69</v>
      </c>
      <c r="H21" s="9" t="s">
        <v>67</v>
      </c>
      <c r="I21" s="9" t="s">
        <v>68</v>
      </c>
      <c r="J21" s="9" t="s">
        <v>69</v>
      </c>
    </row>
    <row r="22" spans="1:10">
      <c r="A22" s="10" t="s">
        <v>57</v>
      </c>
      <c r="B22" s="11" t="str">
        <f>SUMIFS(INDEX(course_data, 0, 10), INDEX(course_data, 0, 1), "=2015-2016", INDEX(course_data, 0, 6), "=day")</f>
        <v>0</v>
      </c>
      <c r="C22" s="12" t="str">
        <f>IF(B22=0, 0, ((SUMIFS(INDEX(course_data, 0, 11), INDEX(course_data, 0, 1), "=2015-2016", INDEX(course_data, 0, 6), "=day"))/B22))</f>
        <v>0</v>
      </c>
      <c r="D22" s="12" t="str">
        <f>IF(B22=0, 0, ((SUMIFS(INDEX(course_data, 0, 13), INDEX(course_data, 0, 1), "=2015-2016", INDEX(course_data, 0, 6), "=day"))/B22))</f>
        <v>0</v>
      </c>
      <c r="E22" s="11" t="str">
        <f>SUMIFS(INDEX(course_data, 0, 10), INDEX(course_data, 0, 1), "=2015-2016", INDEX(course_data, 0, 6), "=ex_day")</f>
        <v>0</v>
      </c>
      <c r="F22" s="12" t="str">
        <f>IF(E22=0, 0, ((SUMIFS(INDEX(course_data, 0, 11), INDEX(course_data, 0, 1), "=2015-2016", INDEX(course_data, 0, 6), "=ex_day"))/E22))</f>
        <v>0</v>
      </c>
      <c r="G22" s="12" t="str">
        <f>IF(E22=0, 0, ((SUMIFS(INDEX(course_data, 0, 13), INDEX(course_data, 0, 1), "=2015-2016", INDEX(course_data, 0, 6), "=ex_day"))/E22))</f>
        <v>0</v>
      </c>
      <c r="H22" s="11" t="str">
        <f>SUMIFS(INDEX(course_data, 0, 10), INDEX(course_data, 0, 1), "=2015-2016", INDEX(course_data, 0, 6), "=online")</f>
        <v>0</v>
      </c>
      <c r="I22" s="12" t="str">
        <f>IF(H22=0, 0, ((SUMIFS(INDEX(course_data, 0, 11), INDEX(course_data, 0, 1), "=2015-2016", INDEX(course_data, 0, 6), "=online"))/H22))</f>
        <v>0</v>
      </c>
      <c r="J22" s="12" t="str">
        <f>IF(H22=0, 0, ((SUMIFS(INDEX(course_data, 0, 13), INDEX(course_data, 0, 1), "=2015-2016", INDEX(course_data, 0, 6), "=online"))/H22))</f>
        <v>0</v>
      </c>
    </row>
    <row r="23" spans="1:10">
      <c r="A23" s="10" t="s">
        <v>58</v>
      </c>
      <c r="B23" s="10" t="str">
        <f>SUMIFS(INDEX(course_data, 0, 10), INDEX(course_data, 0, 1), "=2016-2017", INDEX(course_data, 0, 6), "=day")</f>
        <v>0</v>
      </c>
      <c r="C23" s="13" t="str">
        <f>IF(B23=0, 0, ((SUMIFS(INDEX(course_data, 0, 11), INDEX(course_data, 0, 1), "=2016-2017", INDEX(course_data, 0, 6), "=day"))/B23))</f>
        <v>0</v>
      </c>
      <c r="D23" s="13" t="str">
        <f>IF(B23=0, 0, ((SUMIFS(INDEX(course_data, 0, 13), INDEX(course_data, 0, 1), "=2016-2017", INDEX(course_data, 0, 6), "=day"))/B23))</f>
        <v>0</v>
      </c>
      <c r="E23" s="10" t="str">
        <f>SUMIFS(INDEX(course_data, 0, 10), INDEX(course_data, 0, 1), "=2016-2017", INDEX(course_data, 0, 6), "=ex_day")</f>
        <v>0</v>
      </c>
      <c r="F23" s="13" t="str">
        <f>IF(E23=0, 0, ((SUMIFS(INDEX(course_data, 0, 11), INDEX(course_data, 0, 1), "=2016-2017", INDEX(course_data, 0, 6), "=ex_day"))/E23))</f>
        <v>0</v>
      </c>
      <c r="G23" s="13" t="str">
        <f>IF(E23=0, 0, ((SUMIFS(INDEX(course_data, 0, 13), INDEX(course_data, 0, 1), "=2016-2017", INDEX(course_data, 0, 6), "=ex_day"))/E23))</f>
        <v>0</v>
      </c>
      <c r="H23" s="10" t="str">
        <f>SUMIFS(INDEX(course_data, 0, 10), INDEX(course_data, 0, 1), "=2016-2017", INDEX(course_data, 0, 6), "=online")</f>
        <v>0</v>
      </c>
      <c r="I23" s="13" t="str">
        <f>IF(H23=0, 0, ((SUMIFS(INDEX(course_data, 0, 11), INDEX(course_data, 0, 1), "=2016-2017", INDEX(course_data, 0, 6), "=online"))/H23))</f>
        <v>0</v>
      </c>
      <c r="J23" s="13" t="str">
        <f>IF(H23=0, 0, ((SUMIFS(INDEX(course_data, 0, 13), INDEX(course_data, 0, 1), "=2016-2017", INDEX(course_data, 0, 6), "=online"))/H23))</f>
        <v>0</v>
      </c>
    </row>
    <row r="24" spans="1:10">
      <c r="A24" s="10" t="s">
        <v>1</v>
      </c>
      <c r="B24" s="11" t="str">
        <f>SUMIFS(INDEX(course_data, 0, 10), INDEX(course_data, 0, 1), "=2017-2018", INDEX(course_data, 0, 6), "=day")</f>
        <v>0</v>
      </c>
      <c r="C24" s="12" t="str">
        <f>IF(B24=0, 0, ((SUMIFS(INDEX(course_data, 0, 11), INDEX(course_data, 0, 1), "=2017-2018", INDEX(course_data, 0, 6), "=day"))/B24))</f>
        <v>0</v>
      </c>
      <c r="D24" s="12" t="str">
        <f>IF(B24=0, 0, ((SUMIFS(INDEX(course_data, 0, 13), INDEX(course_data, 0, 1), "=2017-2018", INDEX(course_data, 0, 6), "=day"))/B24))</f>
        <v>0</v>
      </c>
      <c r="E24" s="11" t="str">
        <f>SUMIFS(INDEX(course_data, 0, 10), INDEX(course_data, 0, 1), "=2017-2018", INDEX(course_data, 0, 6), "=ex_day")</f>
        <v>0</v>
      </c>
      <c r="F24" s="12" t="str">
        <f>IF(E24=0, 0, ((SUMIFS(INDEX(course_data, 0, 11), INDEX(course_data, 0, 1), "=2017-2018", INDEX(course_data, 0, 6), "=ex_day"))/E24))</f>
        <v>0</v>
      </c>
      <c r="G24" s="12" t="str">
        <f>IF(E24=0, 0, ((SUMIFS(INDEX(course_data, 0, 13), INDEX(course_data, 0, 1), "=2017-2018", INDEX(course_data, 0, 6), "=ex_day"))/E24))</f>
        <v>0</v>
      </c>
      <c r="H24" s="11" t="str">
        <f>SUMIFS(INDEX(course_data, 0, 10), INDEX(course_data, 0, 1), "=2017-2018", INDEX(course_data, 0, 6), "=online")</f>
        <v>0</v>
      </c>
      <c r="I24" s="12" t="str">
        <f>IF(H24=0, 0, ((SUMIFS(INDEX(course_data, 0, 11), INDEX(course_data, 0, 1), "=2017-2018", INDEX(course_data, 0, 6), "=online"))/H24))</f>
        <v>0</v>
      </c>
      <c r="J24" s="12" t="str">
        <f>IF(H24=0, 0, ((SUMIFS(INDEX(course_data, 0, 13), INDEX(course_data, 0, 1), "=2017-2018", INDEX(course_data, 0, 6), "=online"))/H24))</f>
        <v>0</v>
      </c>
    </row>
    <row r="25" spans="1:10">
      <c r="A25" s="14" t="s">
        <v>30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38</v>
      </c>
      <c r="B31" s="18"/>
      <c r="C31" t="s">
        <v>39</v>
      </c>
      <c r="D31"/>
      <c r="E31"/>
      <c r="F31"/>
      <c r="G31"/>
      <c r="H31"/>
      <c r="I31"/>
      <c r="J31"/>
    </row>
    <row r="32" spans="1:10">
      <c r="A32" s="17" t="s">
        <v>40</v>
      </c>
      <c r="B32" s="18"/>
      <c r="C32" t="s">
        <v>41</v>
      </c>
      <c r="D32"/>
      <c r="E32"/>
      <c r="F32"/>
      <c r="G32"/>
      <c r="H32"/>
      <c r="I32"/>
      <c r="J32"/>
    </row>
    <row r="33" spans="1:10">
      <c r="A33" s="17" t="s">
        <v>42</v>
      </c>
      <c r="B33" s="18"/>
      <c r="C33" t="s">
        <v>43</v>
      </c>
      <c r="D33"/>
      <c r="E33"/>
      <c r="F33"/>
      <c r="G33"/>
      <c r="H33"/>
      <c r="I33"/>
      <c r="J33"/>
    </row>
    <row r="34" spans="1:10">
      <c r="A34" s="17" t="s">
        <v>48</v>
      </c>
      <c r="B34" s="18"/>
      <c r="C34" t="s">
        <v>49</v>
      </c>
      <c r="D34"/>
      <c r="E34"/>
      <c r="F34"/>
      <c r="G34"/>
      <c r="H34"/>
      <c r="I34"/>
      <c r="J34"/>
    </row>
    <row r="35" spans="1:10">
      <c r="A35" s="17" t="s">
        <v>70</v>
      </c>
      <c r="B35" s="18"/>
      <c r="C35" t="s">
        <v>71</v>
      </c>
      <c r="D35"/>
      <c r="E35"/>
      <c r="F35"/>
      <c r="G35"/>
      <c r="H35"/>
      <c r="I35"/>
      <c r="J35"/>
    </row>
    <row r="36" spans="1:10">
      <c r="A36" s="17" t="s">
        <v>72</v>
      </c>
      <c r="B36" s="18"/>
      <c r="C36" t="s">
        <v>73</v>
      </c>
      <c r="D36"/>
      <c r="E36"/>
      <c r="F36"/>
      <c r="G36"/>
      <c r="H36"/>
      <c r="I36"/>
      <c r="J3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  <mergeCell ref="A34:B34"/>
    <mergeCell ref="C34:J34"/>
    <mergeCell ref="A35:B35"/>
    <mergeCell ref="C35:J35"/>
    <mergeCell ref="A36:B36"/>
    <mergeCell ref="C36:J36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WE&amp;RPrinted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74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75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76</v>
      </c>
      <c r="C4" s="9"/>
      <c r="D4" s="9"/>
      <c r="E4" s="9" t="s">
        <v>77</v>
      </c>
      <c r="F4" s="9"/>
      <c r="G4" s="9"/>
      <c r="H4" s="9" t="s">
        <v>78</v>
      </c>
      <c r="I4" s="9"/>
      <c r="J4" s="9"/>
      <c r="K4" s="9" t="s">
        <v>79</v>
      </c>
      <c r="L4" s="9"/>
      <c r="M4" s="9"/>
      <c r="N4" s="9" t="s">
        <v>80</v>
      </c>
      <c r="O4" s="9"/>
      <c r="P4" s="9"/>
    </row>
    <row r="5" spans="1:16">
      <c r="A5" s="9" t="s">
        <v>13</v>
      </c>
      <c r="B5" s="9" t="s">
        <v>81</v>
      </c>
      <c r="C5" s="9" t="s">
        <v>82</v>
      </c>
      <c r="D5" s="9" t="s">
        <v>83</v>
      </c>
      <c r="E5" s="9" t="s">
        <v>81</v>
      </c>
      <c r="F5" s="9" t="s">
        <v>82</v>
      </c>
      <c r="G5" s="9" t="s">
        <v>83</v>
      </c>
      <c r="H5" s="9" t="s">
        <v>81</v>
      </c>
      <c r="I5" s="9" t="s">
        <v>82</v>
      </c>
      <c r="J5" s="9" t="s">
        <v>83</v>
      </c>
      <c r="K5" s="9" t="s">
        <v>81</v>
      </c>
      <c r="L5" s="9" t="s">
        <v>82</v>
      </c>
      <c r="M5" s="9" t="s">
        <v>83</v>
      </c>
      <c r="N5" s="9" t="s">
        <v>81</v>
      </c>
      <c r="O5" s="9" t="s">
        <v>82</v>
      </c>
      <c r="P5" s="9" t="s">
        <v>83</v>
      </c>
    </row>
    <row r="6" spans="1:16">
      <c r="A6" s="10" t="s">
        <v>18</v>
      </c>
      <c r="B6" s="11">
        <v>0</v>
      </c>
      <c r="C6" s="12">
        <v>0</v>
      </c>
      <c r="D6" s="12">
        <v>0</v>
      </c>
      <c r="E6" s="11">
        <v>52</v>
      </c>
      <c r="F6" s="12">
        <v>0.9615385</v>
      </c>
      <c r="G6" s="12">
        <v>1</v>
      </c>
      <c r="H6" s="11">
        <v>1</v>
      </c>
      <c r="I6" s="12">
        <v>1</v>
      </c>
      <c r="J6" s="12">
        <v>1</v>
      </c>
      <c r="K6" s="11">
        <v>0</v>
      </c>
      <c r="L6" s="12">
        <v>0</v>
      </c>
      <c r="M6" s="12">
        <v>0</v>
      </c>
      <c r="N6" s="11">
        <v>18</v>
      </c>
      <c r="O6" s="12">
        <v>0.8333333</v>
      </c>
      <c r="P6" s="12">
        <v>1</v>
      </c>
    </row>
    <row r="7" spans="1:16">
      <c r="A7" s="10" t="s">
        <v>19</v>
      </c>
      <c r="B7" s="10">
        <v>0</v>
      </c>
      <c r="C7" s="13">
        <v>0</v>
      </c>
      <c r="D7" s="13">
        <v>0</v>
      </c>
      <c r="E7" s="10">
        <v>10</v>
      </c>
      <c r="F7" s="13">
        <v>0.7</v>
      </c>
      <c r="G7" s="13">
        <v>0.7</v>
      </c>
      <c r="H7" s="10">
        <v>0</v>
      </c>
      <c r="I7" s="13">
        <v>0</v>
      </c>
      <c r="J7" s="13">
        <v>0</v>
      </c>
      <c r="K7" s="10">
        <v>0</v>
      </c>
      <c r="L7" s="13">
        <v>0</v>
      </c>
      <c r="M7" s="13">
        <v>0</v>
      </c>
      <c r="N7" s="10">
        <v>2</v>
      </c>
      <c r="O7" s="13">
        <v>1</v>
      </c>
      <c r="P7" s="13">
        <v>1</v>
      </c>
    </row>
    <row r="8" spans="1:16">
      <c r="A8" s="10" t="s">
        <v>20</v>
      </c>
      <c r="B8" s="11">
        <v>0</v>
      </c>
      <c r="C8" s="12">
        <v>0</v>
      </c>
      <c r="D8" s="12">
        <v>0</v>
      </c>
      <c r="E8" s="11">
        <v>46</v>
      </c>
      <c r="F8" s="12">
        <v>0.7391304</v>
      </c>
      <c r="G8" s="12">
        <v>0.9130435</v>
      </c>
      <c r="H8" s="11">
        <v>0</v>
      </c>
      <c r="I8" s="12">
        <v>0</v>
      </c>
      <c r="J8" s="12">
        <v>0</v>
      </c>
      <c r="K8" s="11">
        <v>0</v>
      </c>
      <c r="L8" s="12">
        <v>0</v>
      </c>
      <c r="M8" s="12">
        <v>0</v>
      </c>
      <c r="N8" s="11">
        <v>26</v>
      </c>
      <c r="O8" s="12">
        <v>0.6153846</v>
      </c>
      <c r="P8" s="12">
        <v>0.8846154</v>
      </c>
    </row>
    <row r="9" spans="1:16">
      <c r="A9" s="10" t="s">
        <v>21</v>
      </c>
      <c r="B9" s="10">
        <v>0</v>
      </c>
      <c r="C9" s="13">
        <v>0</v>
      </c>
      <c r="D9" s="13">
        <v>0</v>
      </c>
      <c r="E9" s="10">
        <v>9</v>
      </c>
      <c r="F9" s="13">
        <v>1</v>
      </c>
      <c r="G9" s="13">
        <v>1</v>
      </c>
      <c r="H9" s="10">
        <v>0</v>
      </c>
      <c r="I9" s="13">
        <v>0</v>
      </c>
      <c r="J9" s="13">
        <v>0</v>
      </c>
      <c r="K9" s="10">
        <v>0</v>
      </c>
      <c r="L9" s="13">
        <v>0</v>
      </c>
      <c r="M9" s="13">
        <v>0</v>
      </c>
      <c r="N9" s="10">
        <v>12</v>
      </c>
      <c r="O9" s="13">
        <v>0.9166667</v>
      </c>
      <c r="P9" s="13">
        <v>0.9166667</v>
      </c>
    </row>
    <row r="10" spans="1:16">
      <c r="A10" s="10" t="s">
        <v>22</v>
      </c>
      <c r="B10" s="11">
        <v>0</v>
      </c>
      <c r="C10" s="12">
        <v>0</v>
      </c>
      <c r="D10" s="12">
        <v>0</v>
      </c>
      <c r="E10" s="11">
        <v>31</v>
      </c>
      <c r="F10" s="12">
        <v>0.6129032</v>
      </c>
      <c r="G10" s="12">
        <v>0.8387097</v>
      </c>
      <c r="H10" s="11">
        <v>0</v>
      </c>
      <c r="I10" s="12">
        <v>0</v>
      </c>
      <c r="J10" s="12">
        <v>0</v>
      </c>
      <c r="K10" s="11">
        <v>0</v>
      </c>
      <c r="L10" s="12">
        <v>0</v>
      </c>
      <c r="M10" s="12">
        <v>0</v>
      </c>
      <c r="N10" s="11">
        <v>26</v>
      </c>
      <c r="O10" s="12">
        <v>0.8076923</v>
      </c>
      <c r="P10" s="12">
        <v>1</v>
      </c>
    </row>
    <row r="11" spans="1:16">
      <c r="A11" s="10" t="s">
        <v>23</v>
      </c>
      <c r="B11" s="10">
        <v>0</v>
      </c>
      <c r="C11" s="13">
        <v>0</v>
      </c>
      <c r="D11" s="13">
        <v>0</v>
      </c>
      <c r="E11" s="10">
        <v>16</v>
      </c>
      <c r="F11" s="13">
        <v>1</v>
      </c>
      <c r="G11" s="13">
        <v>1</v>
      </c>
      <c r="H11" s="10">
        <v>0</v>
      </c>
      <c r="I11" s="13">
        <v>0</v>
      </c>
      <c r="J11" s="13">
        <v>0</v>
      </c>
      <c r="K11" s="10">
        <v>0</v>
      </c>
      <c r="L11" s="13">
        <v>0</v>
      </c>
      <c r="M11" s="13">
        <v>0</v>
      </c>
      <c r="N11" s="10">
        <v>8</v>
      </c>
      <c r="O11" s="13">
        <v>1</v>
      </c>
      <c r="P11" s="13">
        <v>1</v>
      </c>
    </row>
    <row r="12" spans="1:16">
      <c r="A12" s="10" t="s">
        <v>24</v>
      </c>
      <c r="B12" s="11">
        <v>0</v>
      </c>
      <c r="C12" s="12">
        <v>0</v>
      </c>
      <c r="D12" s="12">
        <v>0</v>
      </c>
      <c r="E12" s="11">
        <v>40</v>
      </c>
      <c r="F12" s="12">
        <v>0.85</v>
      </c>
      <c r="G12" s="12">
        <v>0.975</v>
      </c>
      <c r="H12" s="11">
        <v>0</v>
      </c>
      <c r="I12" s="12">
        <v>0</v>
      </c>
      <c r="J12" s="12">
        <v>0</v>
      </c>
      <c r="K12" s="11">
        <v>0</v>
      </c>
      <c r="L12" s="12">
        <v>0</v>
      </c>
      <c r="M12" s="12">
        <v>0</v>
      </c>
      <c r="N12" s="11">
        <v>23</v>
      </c>
      <c r="O12" s="12">
        <v>0.6086957</v>
      </c>
      <c r="P12" s="12">
        <v>0.8695652</v>
      </c>
    </row>
    <row r="13" spans="1:16">
      <c r="A13" s="10" t="s">
        <v>25</v>
      </c>
      <c r="B13" s="10">
        <v>0</v>
      </c>
      <c r="C13" s="13">
        <v>0</v>
      </c>
      <c r="D13" s="13">
        <v>0</v>
      </c>
      <c r="E13" s="10">
        <v>10</v>
      </c>
      <c r="F13" s="13">
        <v>0.9</v>
      </c>
      <c r="G13" s="13">
        <v>0.9</v>
      </c>
      <c r="H13" s="10">
        <v>0</v>
      </c>
      <c r="I13" s="13">
        <v>0</v>
      </c>
      <c r="J13" s="13">
        <v>0</v>
      </c>
      <c r="K13" s="10">
        <v>0</v>
      </c>
      <c r="L13" s="13">
        <v>0</v>
      </c>
      <c r="M13" s="13">
        <v>0</v>
      </c>
      <c r="N13" s="10">
        <v>11</v>
      </c>
      <c r="O13" s="13">
        <v>0.9090909</v>
      </c>
      <c r="P13" s="13">
        <v>1</v>
      </c>
    </row>
    <row r="14" spans="1:16">
      <c r="A14" s="10" t="s">
        <v>26</v>
      </c>
      <c r="B14" s="11">
        <v>0</v>
      </c>
      <c r="C14" s="12">
        <v>0</v>
      </c>
      <c r="D14" s="12">
        <v>0</v>
      </c>
      <c r="E14" s="11">
        <v>40</v>
      </c>
      <c r="F14" s="12">
        <v>0.9</v>
      </c>
      <c r="G14" s="12">
        <v>0.975</v>
      </c>
      <c r="H14" s="11">
        <v>0</v>
      </c>
      <c r="I14" s="12">
        <v>0</v>
      </c>
      <c r="J14" s="12">
        <v>0</v>
      </c>
      <c r="K14" s="11">
        <v>0</v>
      </c>
      <c r="L14" s="12">
        <v>0</v>
      </c>
      <c r="M14" s="12">
        <v>0</v>
      </c>
      <c r="N14" s="11">
        <v>31</v>
      </c>
      <c r="O14" s="12">
        <v>0.7419355</v>
      </c>
      <c r="P14" s="12">
        <v>0.9032258</v>
      </c>
    </row>
    <row r="15" spans="1:16">
      <c r="A15" s="10" t="s">
        <v>27</v>
      </c>
      <c r="B15" s="10">
        <v>0</v>
      </c>
      <c r="C15" s="13">
        <v>0</v>
      </c>
      <c r="D15" s="13">
        <v>0</v>
      </c>
      <c r="E15" s="10">
        <v>7</v>
      </c>
      <c r="F15" s="13">
        <v>0.8571429</v>
      </c>
      <c r="G15" s="13">
        <v>1</v>
      </c>
      <c r="H15" s="10">
        <v>0</v>
      </c>
      <c r="I15" s="13">
        <v>0</v>
      </c>
      <c r="J15" s="13">
        <v>0</v>
      </c>
      <c r="K15" s="10">
        <v>0</v>
      </c>
      <c r="L15" s="13">
        <v>0</v>
      </c>
      <c r="M15" s="13">
        <v>0</v>
      </c>
      <c r="N15" s="10">
        <v>18</v>
      </c>
      <c r="O15" s="13">
        <v>0.7222222</v>
      </c>
      <c r="P15" s="13">
        <v>0.9444444</v>
      </c>
    </row>
    <row r="16" spans="1:16">
      <c r="A16" s="10" t="s">
        <v>28</v>
      </c>
      <c r="B16" s="11">
        <v>0</v>
      </c>
      <c r="C16" s="12">
        <v>0</v>
      </c>
      <c r="D16" s="12">
        <v>0</v>
      </c>
      <c r="E16" s="11">
        <v>35</v>
      </c>
      <c r="F16" s="12">
        <v>0.8</v>
      </c>
      <c r="G16" s="12">
        <v>0.8571429</v>
      </c>
      <c r="H16" s="11">
        <v>0</v>
      </c>
      <c r="I16" s="12">
        <v>0</v>
      </c>
      <c r="J16" s="12">
        <v>0</v>
      </c>
      <c r="K16" s="11">
        <v>0</v>
      </c>
      <c r="L16" s="12">
        <v>0</v>
      </c>
      <c r="M16" s="12">
        <v>0</v>
      </c>
      <c r="N16" s="11">
        <v>59</v>
      </c>
      <c r="O16" s="12">
        <v>0.6949153</v>
      </c>
      <c r="P16" s="12">
        <v>0.9152542</v>
      </c>
    </row>
    <row r="17" spans="1:16">
      <c r="A17" s="10" t="s">
        <v>29</v>
      </c>
      <c r="B17" s="10">
        <v>0</v>
      </c>
      <c r="C17" s="13">
        <v>0</v>
      </c>
      <c r="D17" s="13">
        <v>0</v>
      </c>
      <c r="E17" s="10">
        <v>3</v>
      </c>
      <c r="F17" s="13">
        <v>1</v>
      </c>
      <c r="G17" s="13">
        <v>1</v>
      </c>
      <c r="H17" s="10">
        <v>0</v>
      </c>
      <c r="I17" s="13">
        <v>0</v>
      </c>
      <c r="J17" s="13">
        <v>0</v>
      </c>
      <c r="K17" s="10">
        <v>0</v>
      </c>
      <c r="L17" s="13">
        <v>0</v>
      </c>
      <c r="M17" s="13">
        <v>0</v>
      </c>
      <c r="N17" s="10">
        <v>19</v>
      </c>
      <c r="O17" s="13">
        <v>0.8421053</v>
      </c>
      <c r="P17" s="13">
        <v>0.8947368</v>
      </c>
    </row>
    <row r="18" spans="1:16">
      <c r="A18" s="14" t="s">
        <v>84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0, ((K6*L6)+(K7*L7)+(K8*L8)+(K9*L9)+(K10*L10)+(K11*L11)+(K12*L12)+(K13*L13)+(K14*L14)+(K15*L15)+(K16*L16)+(K17*L17))/K18)</f>
        <v>0</v>
      </c>
      <c r="M18" s="16" t="str">
        <f>IF(K18=0, 0,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0, ((N6*O6)+(N7*O7)+(N8*O8)+(N9*O9)+(N10*O10)+(N11*O11)+(N12*O12)+(N13*O13)+(N14*O14)+(N15*O15)+(N16*O16)+(N17*O17))/N18)</f>
        <v>0</v>
      </c>
      <c r="P18" s="16" t="str">
        <f>IF(N18=0, 0, ((N6*P6)+(N7*P7)+(N8*P8)+(N9*P9)+(N10*P10)+(N11*P11)+(N12*P12)+(N13*P13)+(N14*P14)+(N15*P15)+(N16*P16)+(N17*P17))/N18)</f>
        <v>0</v>
      </c>
    </row>
    <row r="20" spans="1:16">
      <c r="B20" s="9" t="s">
        <v>76</v>
      </c>
      <c r="C20" s="9"/>
      <c r="D20" s="9"/>
      <c r="E20" s="9" t="s">
        <v>77</v>
      </c>
      <c r="F20" s="9"/>
      <c r="G20" s="9"/>
      <c r="H20" s="9" t="s">
        <v>78</v>
      </c>
      <c r="I20" s="9"/>
      <c r="J20" s="9"/>
      <c r="K20" s="9" t="s">
        <v>79</v>
      </c>
      <c r="L20" s="9"/>
      <c r="M20" s="9"/>
      <c r="N20" s="9" t="s">
        <v>80</v>
      </c>
      <c r="O20" s="9"/>
      <c r="P20" s="9"/>
    </row>
    <row r="21" spans="1:16">
      <c r="A21" s="9" t="s">
        <v>31</v>
      </c>
      <c r="B21" s="9" t="s">
        <v>81</v>
      </c>
      <c r="C21" s="9" t="s">
        <v>82</v>
      </c>
      <c r="D21" s="9" t="s">
        <v>83</v>
      </c>
      <c r="E21" s="9" t="s">
        <v>81</v>
      </c>
      <c r="F21" s="9" t="s">
        <v>82</v>
      </c>
      <c r="G21" s="9" t="s">
        <v>83</v>
      </c>
      <c r="H21" s="9" t="s">
        <v>81</v>
      </c>
      <c r="I21" s="9" t="s">
        <v>82</v>
      </c>
      <c r="J21" s="9" t="s">
        <v>83</v>
      </c>
      <c r="K21" s="9" t="s">
        <v>81</v>
      </c>
      <c r="L21" s="9" t="s">
        <v>82</v>
      </c>
      <c r="M21" s="9" t="s">
        <v>83</v>
      </c>
      <c r="N21" s="9" t="s">
        <v>81</v>
      </c>
      <c r="O21" s="9" t="s">
        <v>82</v>
      </c>
      <c r="P21" s="9" t="s">
        <v>83</v>
      </c>
    </row>
    <row r="22" spans="1:16">
      <c r="A22" s="10" t="s">
        <v>57</v>
      </c>
      <c r="B22" s="11">
        <v>0</v>
      </c>
      <c r="C22" s="12">
        <v>0</v>
      </c>
      <c r="D22" s="12">
        <v>0</v>
      </c>
      <c r="E22" s="11">
        <v>117</v>
      </c>
      <c r="F22" s="12">
        <v>0.8547009</v>
      </c>
      <c r="G22" s="12">
        <v>0.9401709</v>
      </c>
      <c r="H22" s="11">
        <v>1</v>
      </c>
      <c r="I22" s="12">
        <v>1</v>
      </c>
      <c r="J22" s="12">
        <v>1</v>
      </c>
      <c r="K22" s="11">
        <v>0</v>
      </c>
      <c r="L22" s="12">
        <v>0</v>
      </c>
      <c r="M22" s="12">
        <v>0</v>
      </c>
      <c r="N22" s="11">
        <v>58</v>
      </c>
      <c r="O22" s="12">
        <v>0.7586207</v>
      </c>
      <c r="P22" s="12">
        <v>0.9310345</v>
      </c>
    </row>
    <row r="23" spans="1:16">
      <c r="A23" s="10" t="s">
        <v>58</v>
      </c>
      <c r="B23" s="10">
        <v>0</v>
      </c>
      <c r="C23" s="13">
        <v>0</v>
      </c>
      <c r="D23" s="13">
        <v>0</v>
      </c>
      <c r="E23" s="10">
        <v>97</v>
      </c>
      <c r="F23" s="13">
        <v>0.8041237</v>
      </c>
      <c r="G23" s="13">
        <v>0.9278351</v>
      </c>
      <c r="H23" s="10">
        <v>0</v>
      </c>
      <c r="I23" s="13">
        <v>0</v>
      </c>
      <c r="J23" s="13">
        <v>0</v>
      </c>
      <c r="K23" s="10">
        <v>0</v>
      </c>
      <c r="L23" s="13">
        <v>0</v>
      </c>
      <c r="M23" s="13">
        <v>0</v>
      </c>
      <c r="N23" s="10">
        <v>68</v>
      </c>
      <c r="O23" s="13">
        <v>0.7794118</v>
      </c>
      <c r="P23" s="13">
        <v>0.9558824</v>
      </c>
    </row>
    <row r="24" spans="1:16">
      <c r="A24" s="10" t="s">
        <v>1</v>
      </c>
      <c r="B24" s="11">
        <v>0</v>
      </c>
      <c r="C24" s="12">
        <v>0</v>
      </c>
      <c r="D24" s="12">
        <v>0</v>
      </c>
      <c r="E24" s="11">
        <v>85</v>
      </c>
      <c r="F24" s="12">
        <v>0.8588235</v>
      </c>
      <c r="G24" s="12">
        <v>0.9294118</v>
      </c>
      <c r="H24" s="11">
        <v>0</v>
      </c>
      <c r="I24" s="12">
        <v>0</v>
      </c>
      <c r="J24" s="12">
        <v>0</v>
      </c>
      <c r="K24" s="11">
        <v>0</v>
      </c>
      <c r="L24" s="12">
        <v>0</v>
      </c>
      <c r="M24" s="12">
        <v>0</v>
      </c>
      <c r="N24" s="11">
        <v>127</v>
      </c>
      <c r="O24" s="12">
        <v>0.7322835</v>
      </c>
      <c r="P24" s="12">
        <v>0.9133858</v>
      </c>
    </row>
    <row r="25" spans="1:16">
      <c r="A25" s="14" t="s">
        <v>84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  <c r="K25" s="15" t="str">
        <f>SUM(K22:K24)</f>
        <v>0</v>
      </c>
      <c r="L25" s="16" t="str">
        <f>IF(K25=0, 0, ((K22*L22)+(K23*L23)+(K24*L24))/K25)</f>
        <v>0</v>
      </c>
      <c r="M25" s="16" t="str">
        <f>IF(K25=0, 0, ((K22*M22)+(K23*M23)+(K24*M24))/K25)</f>
        <v>0</v>
      </c>
      <c r="N25" s="15" t="str">
        <f>SUM(N22:N24)</f>
        <v>0</v>
      </c>
      <c r="O25" s="16" t="str">
        <f>IF(N25=0, 0, ((N22*O22)+(N23*O23)+(N24*O24))/N25)</f>
        <v>0</v>
      </c>
      <c r="P25" s="16" t="str">
        <f>IF(N25=0, 0, ((N22*P22)+(N23*P23)+(N24*P24))/N25)</f>
        <v>0</v>
      </c>
    </row>
    <row r="28" spans="1:16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</row>
    <row r="30" spans="1:16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  <c r="N30"/>
      <c r="O30"/>
      <c r="P30"/>
    </row>
    <row r="31" spans="1:16">
      <c r="A31" s="17" t="s">
        <v>40</v>
      </c>
      <c r="B31" s="18"/>
      <c r="C31" t="s">
        <v>41</v>
      </c>
      <c r="D31"/>
      <c r="E31"/>
      <c r="F31"/>
      <c r="G31"/>
      <c r="H31"/>
      <c r="I31"/>
      <c r="J31"/>
      <c r="K31"/>
      <c r="L31"/>
      <c r="M31"/>
      <c r="N31"/>
      <c r="O31"/>
      <c r="P31"/>
    </row>
    <row r="32" spans="1:16">
      <c r="A32" s="17" t="s">
        <v>70</v>
      </c>
      <c r="B32" s="18"/>
      <c r="C32" t="s">
        <v>85</v>
      </c>
      <c r="D32"/>
      <c r="E32"/>
      <c r="F32"/>
      <c r="G32"/>
      <c r="H32"/>
      <c r="I32"/>
      <c r="J32"/>
      <c r="K32"/>
      <c r="L32"/>
      <c r="M32"/>
      <c r="N32"/>
      <c r="O32"/>
      <c r="P32"/>
    </row>
    <row r="33" spans="1:16">
      <c r="A33" s="17" t="s">
        <v>72</v>
      </c>
      <c r="B33" s="18"/>
      <c r="C33" t="s">
        <v>73</v>
      </c>
      <c r="D33"/>
      <c r="E33"/>
      <c r="F33"/>
      <c r="G33"/>
      <c r="H33"/>
      <c r="I33"/>
      <c r="J33"/>
      <c r="K33"/>
      <c r="L33"/>
      <c r="M33"/>
      <c r="N33"/>
      <c r="O33"/>
      <c r="P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  <mergeCell ref="B20:D20"/>
    <mergeCell ref="E20:G20"/>
    <mergeCell ref="H20:J20"/>
    <mergeCell ref="K20:M20"/>
    <mergeCell ref="N20:P20"/>
    <mergeCell ref="A28:P28"/>
    <mergeCell ref="A30:B30"/>
    <mergeCell ref="C30:P30"/>
    <mergeCell ref="A31:B31"/>
    <mergeCell ref="C31:P31"/>
    <mergeCell ref="A32:B32"/>
    <mergeCell ref="C32:P32"/>
    <mergeCell ref="A33:B33"/>
    <mergeCell ref="C33:P33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WE&amp;RPrinted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V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86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87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88</v>
      </c>
      <c r="C4" s="9"/>
      <c r="D4" s="9"/>
      <c r="E4" s="9" t="s">
        <v>89</v>
      </c>
      <c r="F4" s="9"/>
      <c r="G4" s="9"/>
      <c r="H4" s="9" t="s">
        <v>90</v>
      </c>
      <c r="I4" s="9"/>
      <c r="J4" s="9"/>
      <c r="K4" s="9" t="s">
        <v>91</v>
      </c>
      <c r="L4" s="9"/>
      <c r="M4" s="9"/>
      <c r="N4" s="9" t="s">
        <v>92</v>
      </c>
      <c r="O4" s="9"/>
      <c r="P4" s="9"/>
      <c r="Q4" s="9" t="s">
        <v>93</v>
      </c>
      <c r="R4" s="9"/>
      <c r="S4" s="9"/>
      <c r="T4" s="9" t="s">
        <v>94</v>
      </c>
      <c r="U4" s="9"/>
      <c r="V4" s="9"/>
    </row>
    <row r="5" spans="1:22">
      <c r="A5" s="9" t="s">
        <v>13</v>
      </c>
      <c r="B5" s="9" t="s">
        <v>81</v>
      </c>
      <c r="C5" s="9" t="s">
        <v>82</v>
      </c>
      <c r="D5" s="9" t="s">
        <v>83</v>
      </c>
      <c r="E5" s="9" t="s">
        <v>81</v>
      </c>
      <c r="F5" s="9" t="s">
        <v>82</v>
      </c>
      <c r="G5" s="9" t="s">
        <v>83</v>
      </c>
      <c r="H5" s="9" t="s">
        <v>81</v>
      </c>
      <c r="I5" s="9" t="s">
        <v>82</v>
      </c>
      <c r="J5" s="9" t="s">
        <v>83</v>
      </c>
      <c r="K5" s="9" t="s">
        <v>81</v>
      </c>
      <c r="L5" s="9" t="s">
        <v>82</v>
      </c>
      <c r="M5" s="9" t="s">
        <v>83</v>
      </c>
      <c r="N5" s="9" t="s">
        <v>81</v>
      </c>
      <c r="O5" s="9" t="s">
        <v>82</v>
      </c>
      <c r="P5" s="9" t="s">
        <v>83</v>
      </c>
      <c r="Q5" s="9" t="s">
        <v>81</v>
      </c>
      <c r="R5" s="9" t="s">
        <v>82</v>
      </c>
      <c r="S5" s="9" t="s">
        <v>83</v>
      </c>
      <c r="T5" s="9" t="s">
        <v>81</v>
      </c>
      <c r="U5" s="9" t="s">
        <v>82</v>
      </c>
      <c r="V5" s="9" t="s">
        <v>83</v>
      </c>
    </row>
    <row r="6" spans="1:22">
      <c r="A6" s="10" t="s">
        <v>18</v>
      </c>
      <c r="B6" s="11">
        <v>1</v>
      </c>
      <c r="C6" s="12">
        <v>1</v>
      </c>
      <c r="D6" s="12">
        <v>1</v>
      </c>
      <c r="E6" s="11">
        <v>24</v>
      </c>
      <c r="F6" s="12">
        <v>1</v>
      </c>
      <c r="G6" s="12">
        <v>1</v>
      </c>
      <c r="H6" s="11">
        <v>15</v>
      </c>
      <c r="I6" s="12">
        <v>0.9333333</v>
      </c>
      <c r="J6" s="12">
        <v>1</v>
      </c>
      <c r="K6" s="11">
        <v>7</v>
      </c>
      <c r="L6" s="12">
        <v>1</v>
      </c>
      <c r="M6" s="12">
        <v>1</v>
      </c>
      <c r="N6" s="11">
        <v>5</v>
      </c>
      <c r="O6" s="12">
        <v>0.6</v>
      </c>
      <c r="P6" s="12">
        <v>1</v>
      </c>
      <c r="Q6" s="11">
        <v>12</v>
      </c>
      <c r="R6" s="12">
        <v>1</v>
      </c>
      <c r="S6" s="12">
        <v>1</v>
      </c>
      <c r="T6" s="11">
        <v>7</v>
      </c>
      <c r="U6" s="12">
        <v>0.7142857</v>
      </c>
      <c r="V6" s="12">
        <v>1</v>
      </c>
    </row>
    <row r="7" spans="1:22">
      <c r="A7" s="10" t="s">
        <v>19</v>
      </c>
      <c r="B7" s="10">
        <v>3</v>
      </c>
      <c r="C7" s="13">
        <v>0.3333333</v>
      </c>
      <c r="D7" s="13">
        <v>0.3333333</v>
      </c>
      <c r="E7" s="10">
        <v>5</v>
      </c>
      <c r="F7" s="13">
        <v>1</v>
      </c>
      <c r="G7" s="13">
        <v>1</v>
      </c>
      <c r="H7" s="10">
        <v>2</v>
      </c>
      <c r="I7" s="13">
        <v>1</v>
      </c>
      <c r="J7" s="13">
        <v>1</v>
      </c>
      <c r="K7" s="10">
        <v>0</v>
      </c>
      <c r="L7" s="13">
        <v>0</v>
      </c>
      <c r="M7" s="13">
        <v>0</v>
      </c>
      <c r="N7" s="10">
        <v>1</v>
      </c>
      <c r="O7" s="13">
        <v>0</v>
      </c>
      <c r="P7" s="13">
        <v>0</v>
      </c>
      <c r="Q7" s="10">
        <v>1</v>
      </c>
      <c r="R7" s="13">
        <v>1</v>
      </c>
      <c r="S7" s="13">
        <v>1</v>
      </c>
      <c r="T7" s="10">
        <v>0</v>
      </c>
      <c r="U7" s="13">
        <v>0</v>
      </c>
      <c r="V7" s="13">
        <v>0</v>
      </c>
    </row>
    <row r="8" spans="1:22">
      <c r="A8" s="10" t="s">
        <v>20</v>
      </c>
      <c r="B8" s="11">
        <v>3</v>
      </c>
      <c r="C8" s="12">
        <v>0.3333333</v>
      </c>
      <c r="D8" s="12">
        <v>1</v>
      </c>
      <c r="E8" s="11">
        <v>37</v>
      </c>
      <c r="F8" s="12">
        <v>0.7027027</v>
      </c>
      <c r="G8" s="12">
        <v>0.9189189</v>
      </c>
      <c r="H8" s="11">
        <v>11</v>
      </c>
      <c r="I8" s="12">
        <v>0.5454545</v>
      </c>
      <c r="J8" s="12">
        <v>0.7272727</v>
      </c>
      <c r="K8" s="11">
        <v>6</v>
      </c>
      <c r="L8" s="12">
        <v>1</v>
      </c>
      <c r="M8" s="12">
        <v>1</v>
      </c>
      <c r="N8" s="11">
        <v>4</v>
      </c>
      <c r="O8" s="12">
        <v>0.75</v>
      </c>
      <c r="P8" s="12">
        <v>0.75</v>
      </c>
      <c r="Q8" s="11">
        <v>10</v>
      </c>
      <c r="R8" s="12">
        <v>0.8</v>
      </c>
      <c r="S8" s="12">
        <v>1</v>
      </c>
      <c r="T8" s="11">
        <v>1</v>
      </c>
      <c r="U8" s="12">
        <v>0</v>
      </c>
      <c r="V8" s="12">
        <v>1</v>
      </c>
    </row>
    <row r="9" spans="1:22">
      <c r="A9" s="10" t="s">
        <v>21</v>
      </c>
      <c r="B9" s="10">
        <v>2</v>
      </c>
      <c r="C9" s="13">
        <v>1</v>
      </c>
      <c r="D9" s="13">
        <v>1</v>
      </c>
      <c r="E9" s="10">
        <v>10</v>
      </c>
      <c r="F9" s="13">
        <v>1</v>
      </c>
      <c r="G9" s="13">
        <v>1</v>
      </c>
      <c r="H9" s="10">
        <v>4</v>
      </c>
      <c r="I9" s="13">
        <v>1</v>
      </c>
      <c r="J9" s="13">
        <v>1</v>
      </c>
      <c r="K9" s="10">
        <v>3</v>
      </c>
      <c r="L9" s="13">
        <v>0.6666667</v>
      </c>
      <c r="M9" s="13">
        <v>0.6666667</v>
      </c>
      <c r="N9" s="10">
        <v>1</v>
      </c>
      <c r="O9" s="13">
        <v>1</v>
      </c>
      <c r="P9" s="13">
        <v>1</v>
      </c>
      <c r="Q9" s="10">
        <v>0</v>
      </c>
      <c r="R9" s="13">
        <v>0</v>
      </c>
      <c r="S9" s="13">
        <v>0</v>
      </c>
      <c r="T9" s="10">
        <v>1</v>
      </c>
      <c r="U9" s="13">
        <v>1</v>
      </c>
      <c r="V9" s="13">
        <v>1</v>
      </c>
    </row>
    <row r="10" spans="1:22">
      <c r="A10" s="10" t="s">
        <v>22</v>
      </c>
      <c r="B10" s="11">
        <v>5</v>
      </c>
      <c r="C10" s="12">
        <v>0.4</v>
      </c>
      <c r="D10" s="12">
        <v>1</v>
      </c>
      <c r="E10" s="11">
        <v>25</v>
      </c>
      <c r="F10" s="12">
        <v>0.64</v>
      </c>
      <c r="G10" s="12">
        <v>0.84</v>
      </c>
      <c r="H10" s="11">
        <v>9</v>
      </c>
      <c r="I10" s="12">
        <v>0.8888889</v>
      </c>
      <c r="J10" s="12">
        <v>1</v>
      </c>
      <c r="K10" s="11">
        <v>10</v>
      </c>
      <c r="L10" s="12">
        <v>0.8</v>
      </c>
      <c r="M10" s="12">
        <v>1</v>
      </c>
      <c r="N10" s="11">
        <v>3</v>
      </c>
      <c r="O10" s="12">
        <v>1</v>
      </c>
      <c r="P10" s="12">
        <v>1</v>
      </c>
      <c r="Q10" s="11">
        <v>4</v>
      </c>
      <c r="R10" s="12">
        <v>0.5</v>
      </c>
      <c r="S10" s="12">
        <v>0.75</v>
      </c>
      <c r="T10" s="11">
        <v>1</v>
      </c>
      <c r="U10" s="12">
        <v>1</v>
      </c>
      <c r="V10" s="12">
        <v>1</v>
      </c>
    </row>
    <row r="11" spans="1:22">
      <c r="A11" s="10" t="s">
        <v>23</v>
      </c>
      <c r="B11" s="10">
        <v>3</v>
      </c>
      <c r="C11" s="13">
        <v>1</v>
      </c>
      <c r="D11" s="13">
        <v>1</v>
      </c>
      <c r="E11" s="10">
        <v>9</v>
      </c>
      <c r="F11" s="13">
        <v>1</v>
      </c>
      <c r="G11" s="13">
        <v>1</v>
      </c>
      <c r="H11" s="10">
        <v>2</v>
      </c>
      <c r="I11" s="13">
        <v>1</v>
      </c>
      <c r="J11" s="13">
        <v>1</v>
      </c>
      <c r="K11" s="10">
        <v>2</v>
      </c>
      <c r="L11" s="13">
        <v>1</v>
      </c>
      <c r="M11" s="13">
        <v>1</v>
      </c>
      <c r="N11" s="10">
        <v>5</v>
      </c>
      <c r="O11" s="13">
        <v>1</v>
      </c>
      <c r="P11" s="13">
        <v>1</v>
      </c>
      <c r="Q11" s="10">
        <v>1</v>
      </c>
      <c r="R11" s="13">
        <v>1</v>
      </c>
      <c r="S11" s="13">
        <v>1</v>
      </c>
      <c r="T11" s="10">
        <v>2</v>
      </c>
      <c r="U11" s="13">
        <v>1</v>
      </c>
      <c r="V11" s="13">
        <v>1</v>
      </c>
    </row>
    <row r="12" spans="1:22">
      <c r="A12" s="10" t="s">
        <v>24</v>
      </c>
      <c r="B12" s="11">
        <v>7</v>
      </c>
      <c r="C12" s="12">
        <v>0.5714286</v>
      </c>
      <c r="D12" s="12">
        <v>0.8571429</v>
      </c>
      <c r="E12" s="11">
        <v>25</v>
      </c>
      <c r="F12" s="12">
        <v>0.84</v>
      </c>
      <c r="G12" s="12">
        <v>0.96</v>
      </c>
      <c r="H12" s="11">
        <v>11</v>
      </c>
      <c r="I12" s="12">
        <v>0.6363636</v>
      </c>
      <c r="J12" s="12">
        <v>0.9090909</v>
      </c>
      <c r="K12" s="11">
        <v>4</v>
      </c>
      <c r="L12" s="12">
        <v>0.75</v>
      </c>
      <c r="M12" s="12">
        <v>1</v>
      </c>
      <c r="N12" s="11">
        <v>4</v>
      </c>
      <c r="O12" s="12">
        <v>1</v>
      </c>
      <c r="P12" s="12">
        <v>1</v>
      </c>
      <c r="Q12" s="11">
        <v>7</v>
      </c>
      <c r="R12" s="12">
        <v>0.8571429</v>
      </c>
      <c r="S12" s="12">
        <v>0.8571429</v>
      </c>
      <c r="T12" s="11">
        <v>5</v>
      </c>
      <c r="U12" s="12">
        <v>0.6</v>
      </c>
      <c r="V12" s="12">
        <v>1</v>
      </c>
    </row>
    <row r="13" spans="1:22">
      <c r="A13" s="10" t="s">
        <v>25</v>
      </c>
      <c r="B13" s="10">
        <v>2</v>
      </c>
      <c r="C13" s="13">
        <v>1</v>
      </c>
      <c r="D13" s="13">
        <v>1</v>
      </c>
      <c r="E13" s="10">
        <v>8</v>
      </c>
      <c r="F13" s="13">
        <v>0.875</v>
      </c>
      <c r="G13" s="13">
        <v>1</v>
      </c>
      <c r="H13" s="10">
        <v>2</v>
      </c>
      <c r="I13" s="13">
        <v>1</v>
      </c>
      <c r="J13" s="13">
        <v>1</v>
      </c>
      <c r="K13" s="10">
        <v>2</v>
      </c>
      <c r="L13" s="13">
        <v>1</v>
      </c>
      <c r="M13" s="13">
        <v>1</v>
      </c>
      <c r="N13" s="10">
        <v>4</v>
      </c>
      <c r="O13" s="13">
        <v>1</v>
      </c>
      <c r="P13" s="13">
        <v>1</v>
      </c>
      <c r="Q13" s="10">
        <v>1</v>
      </c>
      <c r="R13" s="13">
        <v>1</v>
      </c>
      <c r="S13" s="13">
        <v>1</v>
      </c>
      <c r="T13" s="10">
        <v>2</v>
      </c>
      <c r="U13" s="13">
        <v>0.5</v>
      </c>
      <c r="V13" s="13">
        <v>0.5</v>
      </c>
    </row>
    <row r="14" spans="1:22">
      <c r="A14" s="10" t="s">
        <v>26</v>
      </c>
      <c r="B14" s="11">
        <v>7</v>
      </c>
      <c r="C14" s="12">
        <v>0.7142857</v>
      </c>
      <c r="D14" s="12">
        <v>1</v>
      </c>
      <c r="E14" s="11">
        <v>20</v>
      </c>
      <c r="F14" s="12">
        <v>0.8</v>
      </c>
      <c r="G14" s="12">
        <v>0.95</v>
      </c>
      <c r="H14" s="11">
        <v>8</v>
      </c>
      <c r="I14" s="12">
        <v>0.625</v>
      </c>
      <c r="J14" s="12">
        <v>1</v>
      </c>
      <c r="K14" s="11">
        <v>8</v>
      </c>
      <c r="L14" s="12">
        <v>0.75</v>
      </c>
      <c r="M14" s="12">
        <v>0.75</v>
      </c>
      <c r="N14" s="11">
        <v>10</v>
      </c>
      <c r="O14" s="12">
        <v>1</v>
      </c>
      <c r="P14" s="12">
        <v>1</v>
      </c>
      <c r="Q14" s="11">
        <v>10</v>
      </c>
      <c r="R14" s="12">
        <v>1</v>
      </c>
      <c r="S14" s="12">
        <v>1</v>
      </c>
      <c r="T14" s="11">
        <v>8</v>
      </c>
      <c r="U14" s="12">
        <v>0.875</v>
      </c>
      <c r="V14" s="12">
        <v>0.875</v>
      </c>
    </row>
    <row r="15" spans="1:22">
      <c r="A15" s="10" t="s">
        <v>27</v>
      </c>
      <c r="B15" s="10">
        <v>1</v>
      </c>
      <c r="C15" s="13">
        <v>0</v>
      </c>
      <c r="D15" s="13">
        <v>1</v>
      </c>
      <c r="E15" s="10">
        <v>11</v>
      </c>
      <c r="F15" s="13">
        <v>0.8181818</v>
      </c>
      <c r="G15" s="13">
        <v>1</v>
      </c>
      <c r="H15" s="10">
        <v>3</v>
      </c>
      <c r="I15" s="13">
        <v>1</v>
      </c>
      <c r="J15" s="13">
        <v>1</v>
      </c>
      <c r="K15" s="10">
        <v>3</v>
      </c>
      <c r="L15" s="13">
        <v>0.6666667</v>
      </c>
      <c r="M15" s="13">
        <v>0.6666667</v>
      </c>
      <c r="N15" s="10">
        <v>2</v>
      </c>
      <c r="O15" s="13">
        <v>0.5</v>
      </c>
      <c r="P15" s="13">
        <v>1</v>
      </c>
      <c r="Q15" s="10">
        <v>4</v>
      </c>
      <c r="R15" s="13">
        <v>1</v>
      </c>
      <c r="S15" s="13">
        <v>1</v>
      </c>
      <c r="T15" s="10">
        <v>1</v>
      </c>
      <c r="U15" s="13">
        <v>0</v>
      </c>
      <c r="V15" s="13">
        <v>1</v>
      </c>
    </row>
    <row r="16" spans="1:22">
      <c r="A16" s="10" t="s">
        <v>28</v>
      </c>
      <c r="B16" s="11">
        <v>10</v>
      </c>
      <c r="C16" s="12">
        <v>0.6</v>
      </c>
      <c r="D16" s="12">
        <v>1</v>
      </c>
      <c r="E16" s="11">
        <v>30</v>
      </c>
      <c r="F16" s="12">
        <v>0.7</v>
      </c>
      <c r="G16" s="12">
        <v>0.9</v>
      </c>
      <c r="H16" s="11">
        <v>24</v>
      </c>
      <c r="I16" s="12">
        <v>0.7083333</v>
      </c>
      <c r="J16" s="12">
        <v>0.8333333</v>
      </c>
      <c r="K16" s="11">
        <v>11</v>
      </c>
      <c r="L16" s="12">
        <v>0.8181818</v>
      </c>
      <c r="M16" s="12">
        <v>0.8181818</v>
      </c>
      <c r="N16" s="11">
        <v>3</v>
      </c>
      <c r="O16" s="12">
        <v>1</v>
      </c>
      <c r="P16" s="12">
        <v>1</v>
      </c>
      <c r="Q16" s="11">
        <v>11</v>
      </c>
      <c r="R16" s="12">
        <v>0.8181818</v>
      </c>
      <c r="S16" s="12">
        <v>0.9090909</v>
      </c>
      <c r="T16" s="11">
        <v>5</v>
      </c>
      <c r="U16" s="12">
        <v>0.8</v>
      </c>
      <c r="V16" s="12">
        <v>1</v>
      </c>
    </row>
    <row r="17" spans="1:22">
      <c r="A17" s="10" t="s">
        <v>29</v>
      </c>
      <c r="B17" s="10">
        <v>4</v>
      </c>
      <c r="C17" s="13">
        <v>0.5</v>
      </c>
      <c r="D17" s="13">
        <v>0.75</v>
      </c>
      <c r="E17" s="10">
        <v>8</v>
      </c>
      <c r="F17" s="13">
        <v>0.875</v>
      </c>
      <c r="G17" s="13">
        <v>0.875</v>
      </c>
      <c r="H17" s="10">
        <v>2</v>
      </c>
      <c r="I17" s="13">
        <v>1</v>
      </c>
      <c r="J17" s="13">
        <v>1</v>
      </c>
      <c r="K17" s="10">
        <v>0</v>
      </c>
      <c r="L17" s="13">
        <v>0</v>
      </c>
      <c r="M17" s="13">
        <v>0</v>
      </c>
      <c r="N17" s="10">
        <v>2</v>
      </c>
      <c r="O17" s="13">
        <v>1</v>
      </c>
      <c r="P17" s="13">
        <v>1</v>
      </c>
      <c r="Q17" s="10">
        <v>4</v>
      </c>
      <c r="R17" s="13">
        <v>1</v>
      </c>
      <c r="S17" s="13">
        <v>1</v>
      </c>
      <c r="T17" s="10">
        <v>2</v>
      </c>
      <c r="U17" s="13">
        <v>1</v>
      </c>
      <c r="V17" s="13">
        <v>1</v>
      </c>
    </row>
    <row r="18" spans="1:22">
      <c r="A18" s="14" t="s">
        <v>84</v>
      </c>
      <c r="B18" s="15" t="str">
        <f>SUM(B6:B17)</f>
        <v>0</v>
      </c>
      <c r="C18" s="16" t="str">
        <f>IF(B18=0, "", ((B6*C6)+(B7*C7)+(B8*C8)+(B9*C9)+(B10*C10)+(B11*C11)+(B12*C12)+(B13*C13)+(B14*C14)+(B15*C15)+(B16*C16)+(B17*C17))/B18)</f>
        <v>0</v>
      </c>
      <c r="D18" s="16" t="str">
        <f>IF(B18=0, "",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"", ((E6*F6)+(E7*F7)+(E8*F8)+(E9*F9)+(E10*F10)+(E11*F11)+(E12*F12)+(E13*F13)+(E14*F14)+(E15*F15)+(E16*F16)+(E17*F17))/E18)</f>
        <v>0</v>
      </c>
      <c r="G18" s="16" t="str">
        <f>IF(E18=0, "",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"", ((H6*I6)+(H7*I7)+(H8*I8)+(H9*I9)+(H10*I10)+(H11*I11)+(H12*I12)+(H13*I13)+(H14*I14)+(H15*I15)+(H16*I16)+(H17*I17))/H18)</f>
        <v>0</v>
      </c>
      <c r="J18" s="16" t="str">
        <f>IF(H18=0, "",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"", ((K6*L6)+(K7*L7)+(K8*L8)+(K9*L9)+(K10*L10)+(K11*L11)+(K12*L12)+(K13*L13)+(K14*L14)+(K15*L15)+(K16*L16)+(K17*L17))/K18)</f>
        <v>0</v>
      </c>
      <c r="M18" s="16" t="str">
        <f>IF(K18=0, "",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"", ((N6*O6)+(N7*O7)+(N8*O8)+(N9*O9)+(N10*O10)+(N11*O11)+(N12*O12)+(N13*O13)+(N14*O14)+(N15*O15)+(N16*O16)+(N17*O17))/N18)</f>
        <v>0</v>
      </c>
      <c r="P18" s="16" t="str">
        <f>IF(N18=0, "", ((N6*P6)+(N7*P7)+(N8*P8)+(N9*P9)+(N10*P10)+(N11*P11)+(N12*P12)+(N13*P13)+(N14*P14)+(N15*P15)+(N16*P16)+(N17*P17))/N18)</f>
        <v>0</v>
      </c>
      <c r="Q18" s="15" t="str">
        <f>SUM(Q6:Q17)</f>
        <v>0</v>
      </c>
      <c r="R18" s="16" t="str">
        <f>IF(Q18=0, "", ((Q6*R6)+(Q7*R7)+(Q8*R8)+(Q9*R9)+(Q10*R10)+(Q11*R11)+(Q12*R12)+(Q13*R13)+(Q14*R14)+(Q15*R15)+(Q16*R16)+(Q17*R17))/Q18)</f>
        <v>0</v>
      </c>
      <c r="S18" s="16" t="str">
        <f>IF(Q18=0, "", ((Q6*S6)+(Q7*S7)+(Q8*S8)+(Q9*S9)+(Q10*S10)+(Q11*S11)+(Q12*S12)+(Q13*S13)+(Q14*S14)+(Q15*S15)+(Q16*S16)+(Q17*S17))/Q18)</f>
        <v>0</v>
      </c>
      <c r="T18" s="15" t="str">
        <f>SUM(T6:T17)</f>
        <v>0</v>
      </c>
      <c r="U18" s="16" t="str">
        <f>IF(T18=0, "", ((T6*U6)+(T7*U7)+(T8*U8)+(T9*U9)+(T10*U10)+(T11*U11)+(T12*U12)+(T13*U13)+(T14*U14)+(T15*U15)+(T16*U16)+(T17*U17))/T18)</f>
        <v>0</v>
      </c>
      <c r="V18" s="16" t="str">
        <f>IF(T18=0, "", ((T6*V6)+(T7*V7)+(T8*V8)+(T9*V9)+(T10*V10)+(T11*V11)+(T12*V12)+(T13*V13)+(T14*V14)+(T15*V15)+(T16*V16)+(T17*V17))/T18)</f>
        <v>0</v>
      </c>
    </row>
    <row r="20" spans="1:22">
      <c r="B20" s="9" t="s">
        <v>88</v>
      </c>
      <c r="C20" s="9"/>
      <c r="D20" s="9"/>
      <c r="E20" s="9" t="s">
        <v>89</v>
      </c>
      <c r="F20" s="9"/>
      <c r="G20" s="9"/>
      <c r="H20" s="9" t="s">
        <v>90</v>
      </c>
      <c r="I20" s="9"/>
      <c r="J20" s="9"/>
      <c r="K20" s="9" t="s">
        <v>91</v>
      </c>
      <c r="L20" s="9"/>
      <c r="M20" s="9"/>
      <c r="N20" s="9" t="s">
        <v>92</v>
      </c>
      <c r="O20" s="9"/>
      <c r="P20" s="9"/>
      <c r="Q20" s="9" t="s">
        <v>93</v>
      </c>
      <c r="R20" s="9"/>
      <c r="S20" s="9"/>
      <c r="T20" s="9" t="s">
        <v>94</v>
      </c>
      <c r="U20" s="9"/>
      <c r="V20" s="9"/>
    </row>
    <row r="21" spans="1:22">
      <c r="A21" s="9" t="s">
        <v>31</v>
      </c>
      <c r="B21" s="9" t="s">
        <v>81</v>
      </c>
      <c r="C21" s="9" t="s">
        <v>82</v>
      </c>
      <c r="D21" s="9" t="s">
        <v>83</v>
      </c>
      <c r="E21" s="9" t="s">
        <v>81</v>
      </c>
      <c r="F21" s="9" t="s">
        <v>82</v>
      </c>
      <c r="G21" s="9" t="s">
        <v>83</v>
      </c>
      <c r="H21" s="9" t="s">
        <v>81</v>
      </c>
      <c r="I21" s="9" t="s">
        <v>82</v>
      </c>
      <c r="J21" s="9" t="s">
        <v>83</v>
      </c>
      <c r="K21" s="9" t="s">
        <v>81</v>
      </c>
      <c r="L21" s="9" t="s">
        <v>82</v>
      </c>
      <c r="M21" s="9" t="s">
        <v>83</v>
      </c>
      <c r="N21" s="9" t="s">
        <v>81</v>
      </c>
      <c r="O21" s="9" t="s">
        <v>82</v>
      </c>
      <c r="P21" s="9" t="s">
        <v>83</v>
      </c>
      <c r="Q21" s="9" t="s">
        <v>81</v>
      </c>
      <c r="R21" s="9" t="s">
        <v>82</v>
      </c>
      <c r="S21" s="9" t="s">
        <v>83</v>
      </c>
      <c r="T21" s="9" t="s">
        <v>81</v>
      </c>
      <c r="U21" s="9" t="s">
        <v>82</v>
      </c>
      <c r="V21" s="9" t="s">
        <v>83</v>
      </c>
    </row>
    <row r="22" spans="1:22">
      <c r="A22" s="10" t="s">
        <v>57</v>
      </c>
      <c r="B22" s="11">
        <v>9</v>
      </c>
      <c r="C22" s="12">
        <v>0.5555556</v>
      </c>
      <c r="D22" s="12">
        <v>0.7777778</v>
      </c>
      <c r="E22" s="11">
        <v>76</v>
      </c>
      <c r="F22" s="12">
        <v>0.8552632</v>
      </c>
      <c r="G22" s="12">
        <v>0.9605263</v>
      </c>
      <c r="H22" s="11">
        <v>32</v>
      </c>
      <c r="I22" s="12">
        <v>0.8125</v>
      </c>
      <c r="J22" s="12">
        <v>0.90625</v>
      </c>
      <c r="K22" s="11">
        <v>16</v>
      </c>
      <c r="L22" s="12">
        <v>0.9375</v>
      </c>
      <c r="M22" s="12">
        <v>0.9375</v>
      </c>
      <c r="N22" s="11">
        <v>11</v>
      </c>
      <c r="O22" s="12">
        <v>0.6363636</v>
      </c>
      <c r="P22" s="12">
        <v>0.8181818</v>
      </c>
      <c r="Q22" s="11">
        <v>23</v>
      </c>
      <c r="R22" s="12">
        <v>0.9130435</v>
      </c>
      <c r="S22" s="12">
        <v>1</v>
      </c>
      <c r="T22" s="11">
        <v>9</v>
      </c>
      <c r="U22" s="12">
        <v>0.6666667</v>
      </c>
      <c r="V22" s="12">
        <v>1</v>
      </c>
    </row>
    <row r="23" spans="1:22">
      <c r="A23" s="10" t="s">
        <v>58</v>
      </c>
      <c r="B23" s="10">
        <v>17</v>
      </c>
      <c r="C23" s="13">
        <v>0.6470588</v>
      </c>
      <c r="D23" s="13">
        <v>0.9411765</v>
      </c>
      <c r="E23" s="10">
        <v>67</v>
      </c>
      <c r="F23" s="13">
        <v>0.7910448</v>
      </c>
      <c r="G23" s="13">
        <v>0.9253731</v>
      </c>
      <c r="H23" s="10">
        <v>24</v>
      </c>
      <c r="I23" s="13">
        <v>0.7916667</v>
      </c>
      <c r="J23" s="13">
        <v>0.9583333</v>
      </c>
      <c r="K23" s="10">
        <v>18</v>
      </c>
      <c r="L23" s="13">
        <v>0.8333333</v>
      </c>
      <c r="M23" s="13">
        <v>1</v>
      </c>
      <c r="N23" s="10">
        <v>16</v>
      </c>
      <c r="O23" s="13">
        <v>1</v>
      </c>
      <c r="P23" s="13">
        <v>1</v>
      </c>
      <c r="Q23" s="10">
        <v>13</v>
      </c>
      <c r="R23" s="13">
        <v>0.7692308</v>
      </c>
      <c r="S23" s="13">
        <v>0.8461538</v>
      </c>
      <c r="T23" s="10">
        <v>10</v>
      </c>
      <c r="U23" s="13">
        <v>0.7</v>
      </c>
      <c r="V23" s="13">
        <v>0.9</v>
      </c>
    </row>
    <row r="24" spans="1:22">
      <c r="A24" s="10" t="s">
        <v>1</v>
      </c>
      <c r="B24" s="11">
        <v>22</v>
      </c>
      <c r="C24" s="12">
        <v>0.5909091</v>
      </c>
      <c r="D24" s="12">
        <v>0.9545455</v>
      </c>
      <c r="E24" s="11">
        <v>69</v>
      </c>
      <c r="F24" s="12">
        <v>0.7681159</v>
      </c>
      <c r="G24" s="12">
        <v>0.9275362</v>
      </c>
      <c r="H24" s="11">
        <v>37</v>
      </c>
      <c r="I24" s="12">
        <v>0.7297297</v>
      </c>
      <c r="J24" s="12">
        <v>0.8918919</v>
      </c>
      <c r="K24" s="11">
        <v>22</v>
      </c>
      <c r="L24" s="12">
        <v>0.7727273</v>
      </c>
      <c r="M24" s="12">
        <v>0.7727273</v>
      </c>
      <c r="N24" s="11">
        <v>17</v>
      </c>
      <c r="O24" s="12">
        <v>0.9411765</v>
      </c>
      <c r="P24" s="12">
        <v>1</v>
      </c>
      <c r="Q24" s="11">
        <v>29</v>
      </c>
      <c r="R24" s="12">
        <v>0.9310345</v>
      </c>
      <c r="S24" s="12">
        <v>0.9655172</v>
      </c>
      <c r="T24" s="11">
        <v>16</v>
      </c>
      <c r="U24" s="12">
        <v>0.8125</v>
      </c>
      <c r="V24" s="12">
        <v>0.9375</v>
      </c>
    </row>
    <row r="25" spans="1:22">
      <c r="A25" s="14" t="s">
        <v>84</v>
      </c>
      <c r="B25" s="15" t="str">
        <f>SUM(B22:B24)</f>
        <v>0</v>
      </c>
      <c r="C25" s="16" t="str">
        <f>IF(B25=0, "", ((B22*C22)+(B23*C23)+(B24*C24))/B25)</f>
        <v>0</v>
      </c>
      <c r="D25" s="16" t="str">
        <f>IF(B25=0, "", ((B22*D22)+(B23*D23)+(B24*D24))/B25)</f>
        <v>0</v>
      </c>
      <c r="E25" s="15" t="str">
        <f>SUM(E22:E24)</f>
        <v>0</v>
      </c>
      <c r="F25" s="16" t="str">
        <f>IF(E25=0, "", ((E22*F22)+(E23*F23)+(E24*F24))/E25)</f>
        <v>0</v>
      </c>
      <c r="G25" s="16" t="str">
        <f>IF(E25=0, "", ((E22*G22)+(E23*G23)+(E24*G24))/E25)</f>
        <v>0</v>
      </c>
      <c r="H25" s="15" t="str">
        <f>SUM(H22:H24)</f>
        <v>0</v>
      </c>
      <c r="I25" s="16" t="str">
        <f>IF(H25=0, "", ((H22*I22)+(H23*I23)+(H24*I24))/H25)</f>
        <v>0</v>
      </c>
      <c r="J25" s="16" t="str">
        <f>IF(H25=0, "", ((H22*J22)+(H23*J23)+(H24*J24))/H25)</f>
        <v>0</v>
      </c>
      <c r="K25" s="15" t="str">
        <f>SUM(K22:K24)</f>
        <v>0</v>
      </c>
      <c r="L25" s="16" t="str">
        <f>IF(K25=0, "", ((K22*L22)+(K23*L23)+(K24*L24))/K25)</f>
        <v>0</v>
      </c>
      <c r="M25" s="16" t="str">
        <f>IF(K25=0, "", ((K22*M22)+(K23*M23)+(K24*M24))/K25)</f>
        <v>0</v>
      </c>
      <c r="N25" s="15" t="str">
        <f>SUM(N22:N24)</f>
        <v>0</v>
      </c>
      <c r="O25" s="16" t="str">
        <f>IF(N25=0, "", ((N22*O22)+(N23*O23)+(N24*O24))/N25)</f>
        <v>0</v>
      </c>
      <c r="P25" s="16" t="str">
        <f>IF(N25=0, "", ((N22*P22)+(N23*P23)+(N24*P24))/N25)</f>
        <v>0</v>
      </c>
      <c r="Q25" s="15" t="str">
        <f>SUM(Q22:Q24)</f>
        <v>0</v>
      </c>
      <c r="R25" s="16" t="str">
        <f>IF(Q25=0, "", ((Q22*R22)+(Q23*R23)+(Q24*R24))/Q25)</f>
        <v>0</v>
      </c>
      <c r="S25" s="16" t="str">
        <f>IF(Q25=0, "", ((Q22*S22)+(Q23*S23)+(Q24*S24))/Q25)</f>
        <v>0</v>
      </c>
      <c r="T25" s="15" t="str">
        <f>SUM(T22:T24)</f>
        <v>0</v>
      </c>
      <c r="U25" s="16" t="str">
        <f>IF(T25=0, "", ((T22*U22)+(T23*U23)+(T24*U24))/T25)</f>
        <v>0</v>
      </c>
      <c r="V25" s="16" t="str">
        <f>IF(T25=0, "", ((T22*V22)+(T23*V23)+(T24*V24))/T25)</f>
        <v>0</v>
      </c>
    </row>
    <row r="28" spans="1:22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</row>
    <row r="30" spans="1:22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spans="1:22">
      <c r="A31" s="17" t="s">
        <v>40</v>
      </c>
      <c r="B31" s="18"/>
      <c r="C31" t="s">
        <v>41</v>
      </c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spans="1:22">
      <c r="A32" s="17" t="s">
        <v>70</v>
      </c>
      <c r="B32" s="18"/>
      <c r="C32" t="s">
        <v>85</v>
      </c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  <row r="33" spans="1:22">
      <c r="A33" s="17" t="s">
        <v>72</v>
      </c>
      <c r="B33" s="18"/>
      <c r="C33" t="s">
        <v>73</v>
      </c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  <mergeCell ref="B20:D20"/>
    <mergeCell ref="E20:G20"/>
    <mergeCell ref="H20:J20"/>
    <mergeCell ref="K20:M20"/>
    <mergeCell ref="N20:P20"/>
    <mergeCell ref="Q20:S20"/>
    <mergeCell ref="T20:V20"/>
    <mergeCell ref="A28:V28"/>
    <mergeCell ref="A30:B30"/>
    <mergeCell ref="C30:V30"/>
    <mergeCell ref="A31:B31"/>
    <mergeCell ref="C31:V31"/>
    <mergeCell ref="A32:B32"/>
    <mergeCell ref="C32:V32"/>
    <mergeCell ref="A33:B33"/>
    <mergeCell ref="C33:V33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WE&amp;RPrinted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J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7" customWidth="true" style="0"/>
    <col min="4" max="4" width="17" customWidth="true" style="0"/>
    <col min="5" max="5" width="6" customWidth="true" style="0"/>
    <col min="6" max="6" width="17" customWidth="true" style="0"/>
    <col min="7" max="7" width="17" customWidth="true" style="0"/>
    <col min="8" max="8" width="6" customWidth="true" style="0"/>
    <col min="9" max="9" width="17" customWidth="true" style="0"/>
    <col min="10" max="10" width="17" customWidth="true" style="0"/>
  </cols>
  <sheetData>
    <row r="1" spans="1:10">
      <c r="A1" s="6" t="s">
        <v>95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96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97</v>
      </c>
      <c r="C4" s="9"/>
      <c r="D4" s="9"/>
      <c r="E4" s="9" t="s">
        <v>98</v>
      </c>
      <c r="F4" s="9"/>
      <c r="G4" s="9"/>
      <c r="H4" s="9" t="s">
        <v>99</v>
      </c>
      <c r="I4" s="9"/>
      <c r="J4" s="9"/>
    </row>
    <row r="5" spans="1:10">
      <c r="A5" s="9" t="s">
        <v>13</v>
      </c>
      <c r="B5" s="9" t="s">
        <v>81</v>
      </c>
      <c r="C5" s="9" t="s">
        <v>82</v>
      </c>
      <c r="D5" s="9" t="s">
        <v>83</v>
      </c>
      <c r="E5" s="9" t="s">
        <v>81</v>
      </c>
      <c r="F5" s="9" t="s">
        <v>82</v>
      </c>
      <c r="G5" s="9" t="s">
        <v>83</v>
      </c>
      <c r="H5" s="9" t="s">
        <v>81</v>
      </c>
      <c r="I5" s="9" t="s">
        <v>82</v>
      </c>
      <c r="J5" s="9" t="s">
        <v>83</v>
      </c>
    </row>
    <row r="6" spans="1:10">
      <c r="A6" s="10" t="s">
        <v>18</v>
      </c>
      <c r="B6" s="11">
        <v>41</v>
      </c>
      <c r="C6" s="12">
        <v>0.9268293</v>
      </c>
      <c r="D6" s="12">
        <v>1</v>
      </c>
      <c r="E6" s="11">
        <v>30</v>
      </c>
      <c r="F6" s="12">
        <v>0.9333333</v>
      </c>
      <c r="G6" s="12">
        <v>1</v>
      </c>
      <c r="H6" s="11">
        <v>0</v>
      </c>
      <c r="I6" s="12">
        <v>0</v>
      </c>
      <c r="J6" s="12">
        <v>0</v>
      </c>
    </row>
    <row r="7" spans="1:10">
      <c r="A7" s="10" t="s">
        <v>19</v>
      </c>
      <c r="B7" s="10">
        <v>8</v>
      </c>
      <c r="C7" s="13">
        <v>0.75</v>
      </c>
      <c r="D7" s="13">
        <v>0.75</v>
      </c>
      <c r="E7" s="10">
        <v>4</v>
      </c>
      <c r="F7" s="13">
        <v>0.75</v>
      </c>
      <c r="G7" s="13">
        <v>0.75</v>
      </c>
      <c r="H7" s="10">
        <v>0</v>
      </c>
      <c r="I7" s="13">
        <v>0</v>
      </c>
      <c r="J7" s="13">
        <v>0</v>
      </c>
    </row>
    <row r="8" spans="1:10">
      <c r="A8" s="10" t="s">
        <v>20</v>
      </c>
      <c r="B8" s="11">
        <v>32</v>
      </c>
      <c r="C8" s="12">
        <v>0.71875</v>
      </c>
      <c r="D8" s="12">
        <v>0.875</v>
      </c>
      <c r="E8" s="11">
        <v>40</v>
      </c>
      <c r="F8" s="12">
        <v>0.675</v>
      </c>
      <c r="G8" s="12">
        <v>0.925</v>
      </c>
      <c r="H8" s="11">
        <v>0</v>
      </c>
      <c r="I8" s="12">
        <v>0</v>
      </c>
      <c r="J8" s="12">
        <v>0</v>
      </c>
    </row>
    <row r="9" spans="1:10">
      <c r="A9" s="10" t="s">
        <v>21</v>
      </c>
      <c r="B9" s="10">
        <v>14</v>
      </c>
      <c r="C9" s="13">
        <v>0.9285714</v>
      </c>
      <c r="D9" s="13">
        <v>0.9285714</v>
      </c>
      <c r="E9" s="10">
        <v>7</v>
      </c>
      <c r="F9" s="13">
        <v>1</v>
      </c>
      <c r="G9" s="13">
        <v>1</v>
      </c>
      <c r="H9" s="10">
        <v>0</v>
      </c>
      <c r="I9" s="13">
        <v>0</v>
      </c>
      <c r="J9" s="13">
        <v>0</v>
      </c>
    </row>
    <row r="10" spans="1:10">
      <c r="A10" s="10" t="s">
        <v>22</v>
      </c>
      <c r="B10" s="11">
        <v>24</v>
      </c>
      <c r="C10" s="12">
        <v>0.8333333</v>
      </c>
      <c r="D10" s="12">
        <v>0.9583333</v>
      </c>
      <c r="E10" s="11">
        <v>33</v>
      </c>
      <c r="F10" s="12">
        <v>0.6060606</v>
      </c>
      <c r="G10" s="12">
        <v>0.8787879</v>
      </c>
      <c r="H10" s="11">
        <v>0</v>
      </c>
      <c r="I10" s="12">
        <v>0</v>
      </c>
      <c r="J10" s="12">
        <v>0</v>
      </c>
    </row>
    <row r="11" spans="1:10">
      <c r="A11" s="10" t="s">
        <v>23</v>
      </c>
      <c r="B11" s="10">
        <v>18</v>
      </c>
      <c r="C11" s="13">
        <v>1</v>
      </c>
      <c r="D11" s="13">
        <v>1</v>
      </c>
      <c r="E11" s="10">
        <v>6</v>
      </c>
      <c r="F11" s="13">
        <v>1</v>
      </c>
      <c r="G11" s="13">
        <v>1</v>
      </c>
      <c r="H11" s="10">
        <v>0</v>
      </c>
      <c r="I11" s="13">
        <v>0</v>
      </c>
      <c r="J11" s="13">
        <v>0</v>
      </c>
    </row>
    <row r="12" spans="1:10">
      <c r="A12" s="10" t="s">
        <v>24</v>
      </c>
      <c r="B12" s="11">
        <v>38</v>
      </c>
      <c r="C12" s="12">
        <v>0.8684211</v>
      </c>
      <c r="D12" s="12">
        <v>0.9473684</v>
      </c>
      <c r="E12" s="11">
        <v>25</v>
      </c>
      <c r="F12" s="12">
        <v>0.6</v>
      </c>
      <c r="G12" s="12">
        <v>0.92</v>
      </c>
      <c r="H12" s="11">
        <v>0</v>
      </c>
      <c r="I12" s="12">
        <v>0</v>
      </c>
      <c r="J12" s="12">
        <v>0</v>
      </c>
    </row>
    <row r="13" spans="1:10">
      <c r="A13" s="10" t="s">
        <v>25</v>
      </c>
      <c r="B13" s="10">
        <v>12</v>
      </c>
      <c r="C13" s="13">
        <v>0.8333333</v>
      </c>
      <c r="D13" s="13">
        <v>0.9166667</v>
      </c>
      <c r="E13" s="10">
        <v>9</v>
      </c>
      <c r="F13" s="13">
        <v>1</v>
      </c>
      <c r="G13" s="13">
        <v>1</v>
      </c>
      <c r="H13" s="10">
        <v>0</v>
      </c>
      <c r="I13" s="13">
        <v>0</v>
      </c>
      <c r="J13" s="13">
        <v>0</v>
      </c>
    </row>
    <row r="14" spans="1:10">
      <c r="A14" s="10" t="s">
        <v>26</v>
      </c>
      <c r="B14" s="11">
        <v>41</v>
      </c>
      <c r="C14" s="12">
        <v>0.8780488</v>
      </c>
      <c r="D14" s="12">
        <v>0.9268293</v>
      </c>
      <c r="E14" s="11">
        <v>30</v>
      </c>
      <c r="F14" s="12">
        <v>0.7666667</v>
      </c>
      <c r="G14" s="12">
        <v>0.9666667</v>
      </c>
      <c r="H14" s="11">
        <v>0</v>
      </c>
      <c r="I14" s="12">
        <v>0</v>
      </c>
      <c r="J14" s="12">
        <v>0</v>
      </c>
    </row>
    <row r="15" spans="1:10">
      <c r="A15" s="10" t="s">
        <v>27</v>
      </c>
      <c r="B15" s="10">
        <v>16</v>
      </c>
      <c r="C15" s="13">
        <v>0.8125</v>
      </c>
      <c r="D15" s="13">
        <v>0.9375</v>
      </c>
      <c r="E15" s="10">
        <v>9</v>
      </c>
      <c r="F15" s="13">
        <v>0.6666667</v>
      </c>
      <c r="G15" s="13">
        <v>1</v>
      </c>
      <c r="H15" s="10">
        <v>0</v>
      </c>
      <c r="I15" s="13">
        <v>0</v>
      </c>
      <c r="J15" s="13">
        <v>0</v>
      </c>
    </row>
    <row r="16" spans="1:10">
      <c r="A16" s="10" t="s">
        <v>28</v>
      </c>
      <c r="B16" s="11">
        <v>51</v>
      </c>
      <c r="C16" s="12">
        <v>0.8235294</v>
      </c>
      <c r="D16" s="12">
        <v>0.9215686</v>
      </c>
      <c r="E16" s="11">
        <v>42</v>
      </c>
      <c r="F16" s="12">
        <v>0.6190476</v>
      </c>
      <c r="G16" s="12">
        <v>0.8571429</v>
      </c>
      <c r="H16" s="11">
        <v>1</v>
      </c>
      <c r="I16" s="12">
        <v>1</v>
      </c>
      <c r="J16" s="12">
        <v>1</v>
      </c>
    </row>
    <row r="17" spans="1:10">
      <c r="A17" s="10" t="s">
        <v>29</v>
      </c>
      <c r="B17" s="10">
        <v>15</v>
      </c>
      <c r="C17" s="13">
        <v>0.8666667</v>
      </c>
      <c r="D17" s="13">
        <v>0.8666667</v>
      </c>
      <c r="E17" s="10">
        <v>7</v>
      </c>
      <c r="F17" s="13">
        <v>0.8571429</v>
      </c>
      <c r="G17" s="13">
        <v>1</v>
      </c>
      <c r="H17" s="10">
        <v>0</v>
      </c>
      <c r="I17" s="13">
        <v>0</v>
      </c>
      <c r="J17" s="13">
        <v>0</v>
      </c>
    </row>
    <row r="18" spans="1:10">
      <c r="A18" s="14" t="s">
        <v>84</v>
      </c>
      <c r="B18" s="15" t="str">
        <f>SUM(B6:B17)</f>
        <v>0</v>
      </c>
      <c r="C18" s="16" t="str">
        <f>((B6*C6)+(B7*C7)+(B8*C8)+(B9*C9)+(B10*C10)+(B11*C11)+(B12*C12)+(B13*C13)+(B14*C14)+(B15*C15)+(B16*C16)+(B17*C17))/B18</f>
        <v>0</v>
      </c>
      <c r="D18" s="16" t="str">
        <f>((B6*D6)+(B7*D7)+(B8*D8)+(B9*D9)+(B10*D10)+(B11*D11)+(B12*D12)+(B13*D13)+(B14*D14)+(B15*D15)+(B16*D16)+(B17*D17))/B18</f>
        <v>0</v>
      </c>
      <c r="E18" s="15" t="str">
        <f>SUM(E6:E17)</f>
        <v>0</v>
      </c>
      <c r="F18" s="16" t="str">
        <f>((E6*F6)+(E7*F7)+(E8*F8)+(E9*F9)+(E10*F10)+(E11*F11)+(E12*F12)+(E13*F13)+(E14*F14)+(E15*F15)+(E16*F16)+(E17*F17))/E18</f>
        <v>0</v>
      </c>
      <c r="G18" s="16" t="str">
        <f>((E6*G6)+(E7*G7)+(E8*G8)+(E9*G9)+(E10*G10)+(E11*G11)+(E12*G12)+(E13*G13)+(E14*G14)+(E15*G15)+(E16*G16)+(E17*G17))/E18</f>
        <v>0</v>
      </c>
      <c r="H18" s="15" t="str">
        <f>SUM(H6:H17)</f>
        <v>0</v>
      </c>
      <c r="I18" s="16" t="str">
        <f>((H6*I6)+(H7*I7)+(H8*I8)+(H9*I9)+(H10*I10)+(H11*I11)+(H12*I12)+(H13*I13)+(H14*I14)+(H15*I15)+(H16*I16)+(H17*I17))/H18</f>
        <v>0</v>
      </c>
      <c r="J18" s="16" t="str">
        <f>((H6*J6)+(H7*J7)+(H8*J8)+(H9*J9)+(H10*J10)+(H11*J11)+(H12*J12)+(H13*J13)+(H14*J14)+(H15*J15)+(H16*J16)+(H17*J17))/H18</f>
        <v>0</v>
      </c>
    </row>
    <row r="20" spans="1:10">
      <c r="B20" s="9" t="s">
        <v>97</v>
      </c>
      <c r="C20" s="9"/>
      <c r="D20" s="9"/>
      <c r="E20" s="9" t="s">
        <v>98</v>
      </c>
      <c r="F20" s="9"/>
      <c r="G20" s="9"/>
      <c r="H20" s="9" t="s">
        <v>99</v>
      </c>
      <c r="I20" s="9"/>
      <c r="J20" s="9"/>
    </row>
    <row r="21" spans="1:10">
      <c r="A21" s="9" t="s">
        <v>31</v>
      </c>
      <c r="B21" s="9" t="s">
        <v>81</v>
      </c>
      <c r="C21" s="9" t="s">
        <v>82</v>
      </c>
      <c r="D21" s="9" t="s">
        <v>83</v>
      </c>
      <c r="E21" s="9" t="s">
        <v>81</v>
      </c>
      <c r="F21" s="9" t="s">
        <v>82</v>
      </c>
      <c r="G21" s="9" t="s">
        <v>83</v>
      </c>
      <c r="H21" s="9" t="s">
        <v>81</v>
      </c>
      <c r="I21" s="9" t="s">
        <v>82</v>
      </c>
      <c r="J21" s="9" t="s">
        <v>83</v>
      </c>
    </row>
    <row r="22" spans="1:10">
      <c r="A22" s="10" t="s">
        <v>57</v>
      </c>
      <c r="B22" s="11">
        <v>95</v>
      </c>
      <c r="C22" s="12">
        <v>0.8421053</v>
      </c>
      <c r="D22" s="12">
        <v>0.9263158</v>
      </c>
      <c r="E22" s="11">
        <v>81</v>
      </c>
      <c r="F22" s="12">
        <v>0.8024691</v>
      </c>
      <c r="G22" s="12">
        <v>0.9506173</v>
      </c>
      <c r="H22" s="11">
        <v>0</v>
      </c>
      <c r="I22" s="12">
        <v>0</v>
      </c>
      <c r="J22" s="12">
        <v>0</v>
      </c>
    </row>
    <row r="23" spans="1:10">
      <c r="A23" s="10" t="s">
        <v>58</v>
      </c>
      <c r="B23" s="10">
        <v>92</v>
      </c>
      <c r="C23" s="13">
        <v>0.8804348</v>
      </c>
      <c r="D23" s="13">
        <v>0.9565217</v>
      </c>
      <c r="E23" s="10">
        <v>73</v>
      </c>
      <c r="F23" s="13">
        <v>0.6849315</v>
      </c>
      <c r="G23" s="13">
        <v>0.9178082</v>
      </c>
      <c r="H23" s="10">
        <v>0</v>
      </c>
      <c r="I23" s="13">
        <v>0</v>
      </c>
      <c r="J23" s="13">
        <v>0</v>
      </c>
    </row>
    <row r="24" spans="1:10">
      <c r="A24" s="10" t="s">
        <v>1</v>
      </c>
      <c r="B24" s="11">
        <v>123</v>
      </c>
      <c r="C24" s="12">
        <v>0.8455285</v>
      </c>
      <c r="D24" s="12">
        <v>0.9186992</v>
      </c>
      <c r="E24" s="11">
        <v>88</v>
      </c>
      <c r="F24" s="12">
        <v>0.6931818</v>
      </c>
      <c r="G24" s="12">
        <v>0.9204545</v>
      </c>
      <c r="H24" s="11">
        <v>1</v>
      </c>
      <c r="I24" s="12">
        <v>1</v>
      </c>
      <c r="J24" s="12">
        <v>1</v>
      </c>
    </row>
    <row r="25" spans="1:10">
      <c r="A25" s="14" t="s">
        <v>84</v>
      </c>
      <c r="B25" s="15" t="str">
        <f>SUM(B22:B24)</f>
        <v>0</v>
      </c>
      <c r="C25" s="16" t="str">
        <f>((B22*C22)+(B23*C23)+(B24*C24))/B25</f>
        <v>0</v>
      </c>
      <c r="D25" s="16" t="str">
        <f>((B22*D22)+(B23*D23)+(B24*D24))/B25</f>
        <v>0</v>
      </c>
      <c r="E25" s="15" t="str">
        <f>SUM(E22:E24)</f>
        <v>0</v>
      </c>
      <c r="F25" s="16" t="str">
        <f>((E22*F22)+(E23*F23)+(E24*F24))/E25</f>
        <v>0</v>
      </c>
      <c r="G25" s="16" t="str">
        <f>((E22*G22)+(E23*G23)+(E24*G24))/E25</f>
        <v>0</v>
      </c>
      <c r="H25" s="15" t="str">
        <f>SUM(H22:H24)</f>
        <v>0</v>
      </c>
      <c r="I25" s="16" t="str">
        <f>((H22*I22)+(H23*I23)+(H24*I24))/H25</f>
        <v>0</v>
      </c>
      <c r="J25" s="16" t="str">
        <f>((H22*J22)+(H23*J23)+(H24*J24))/H25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40</v>
      </c>
      <c r="B31" s="18"/>
      <c r="C31" t="s">
        <v>41</v>
      </c>
      <c r="D31"/>
      <c r="E31"/>
      <c r="F31"/>
      <c r="G31"/>
      <c r="H31"/>
      <c r="I31"/>
      <c r="J31"/>
    </row>
    <row r="32" spans="1:10">
      <c r="A32" s="17" t="s">
        <v>70</v>
      </c>
      <c r="B32" s="18"/>
      <c r="C32" t="s">
        <v>85</v>
      </c>
      <c r="D32"/>
      <c r="E32"/>
      <c r="F32"/>
      <c r="G32"/>
      <c r="H32"/>
      <c r="I32"/>
      <c r="J32"/>
    </row>
    <row r="33" spans="1:10">
      <c r="A33" s="17" t="s">
        <v>72</v>
      </c>
      <c r="B33" s="18"/>
      <c r="C33" t="s">
        <v>73</v>
      </c>
      <c r="D33"/>
      <c r="E33"/>
      <c r="F33"/>
      <c r="G33"/>
      <c r="H33"/>
      <c r="I33"/>
      <c r="J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WE&amp;RPrinted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24"/>
  <sheetViews>
    <sheetView tabSelected="0" workbookViewId="0" showGridLines="true" showRowColHeaders="1">
      <selection activeCell="C24" sqref="C24"/>
    </sheetView>
  </sheetViews>
  <sheetFormatPr defaultRowHeight="14.4" outlineLevelRow="0" outlineLevelCol="0"/>
  <cols>
    <col min="1" max="1" width="25" customWidth="true" style="0"/>
    <col min="2" max="2" width="20" customWidth="true" style="0"/>
    <col min="3" max="3" width="20" customWidth="true" style="0"/>
    <col min="4" max="4" width="20" customWidth="true" style="0"/>
    <col min="5" max="5" width="35" customWidth="true" style="0"/>
    <col min="6" max="6" width="25" customWidth="true" style="0"/>
  </cols>
  <sheetData>
    <row r="1" spans="1:6">
      <c r="A1" s="6" t="s">
        <v>100</v>
      </c>
      <c r="B1" s="8"/>
      <c r="C1" s="8"/>
      <c r="D1" s="8"/>
      <c r="E1" s="8"/>
      <c r="F1" s="8"/>
    </row>
    <row r="2" spans="1:6">
      <c r="A2" s="7" t="s">
        <v>101</v>
      </c>
      <c r="B2" s="8"/>
      <c r="C2" s="8"/>
      <c r="D2" s="8"/>
      <c r="E2" s="8"/>
      <c r="F2" s="8"/>
    </row>
    <row r="4" spans="1:6">
      <c r="A4" s="9" t="s">
        <v>102</v>
      </c>
      <c r="B4" s="9" t="s">
        <v>103</v>
      </c>
      <c r="C4" s="9" t="s">
        <v>104</v>
      </c>
      <c r="D4" s="9" t="s">
        <v>105</v>
      </c>
      <c r="E4" s="9" t="s">
        <v>106</v>
      </c>
      <c r="F4" s="9" t="s">
        <v>107</v>
      </c>
    </row>
    <row r="5" spans="1:6">
      <c r="A5" s="10" t="s">
        <v>108</v>
      </c>
      <c r="B5" s="10" t="s">
        <v>109</v>
      </c>
      <c r="C5" s="10" t="s">
        <v>110</v>
      </c>
      <c r="D5" s="10" t="s">
        <v>111</v>
      </c>
      <c r="E5" s="13" t="s">
        <v>112</v>
      </c>
      <c r="F5" s="10">
        <v>7</v>
      </c>
    </row>
    <row r="6" spans="1:6">
      <c r="A6" s="11" t="s">
        <v>113</v>
      </c>
      <c r="B6" s="11" t="s">
        <v>109</v>
      </c>
      <c r="C6" s="11" t="s">
        <v>114</v>
      </c>
      <c r="D6" s="11" t="s">
        <v>115</v>
      </c>
      <c r="E6" s="12" t="s">
        <v>112</v>
      </c>
      <c r="F6" s="11">
        <v>3</v>
      </c>
    </row>
    <row r="7" spans="1:6">
      <c r="A7" s="10" t="s">
        <v>113</v>
      </c>
      <c r="B7" s="10" t="s">
        <v>109</v>
      </c>
      <c r="C7" s="10" t="s">
        <v>110</v>
      </c>
      <c r="D7" s="10" t="s">
        <v>111</v>
      </c>
      <c r="E7" s="13" t="s">
        <v>112</v>
      </c>
      <c r="F7" s="10">
        <v>6</v>
      </c>
    </row>
    <row r="8" spans="1:6">
      <c r="A8" s="11" t="s">
        <v>116</v>
      </c>
      <c r="B8" s="11" t="s">
        <v>109</v>
      </c>
      <c r="C8" s="11" t="s">
        <v>110</v>
      </c>
      <c r="D8" s="11" t="s">
        <v>111</v>
      </c>
      <c r="E8" s="12" t="s">
        <v>112</v>
      </c>
      <c r="F8" s="11">
        <v>2</v>
      </c>
    </row>
    <row r="9" spans="1:6">
      <c r="A9" s="10" t="s">
        <v>117</v>
      </c>
      <c r="B9" s="10" t="s">
        <v>109</v>
      </c>
      <c r="C9" s="10" t="s">
        <v>114</v>
      </c>
      <c r="D9" s="10" t="s">
        <v>115</v>
      </c>
      <c r="E9" s="13" t="s">
        <v>112</v>
      </c>
      <c r="F9" s="10">
        <v>3</v>
      </c>
    </row>
    <row r="10" spans="1:6">
      <c r="A10" s="11" t="s">
        <v>117</v>
      </c>
      <c r="B10" s="11" t="s">
        <v>109</v>
      </c>
      <c r="C10" s="11" t="s">
        <v>110</v>
      </c>
      <c r="D10" s="11" t="s">
        <v>111</v>
      </c>
      <c r="E10" s="12" t="s">
        <v>112</v>
      </c>
      <c r="F10" s="11">
        <v>13</v>
      </c>
    </row>
    <row r="11" spans="1:6">
      <c r="A11" s="10" t="s">
        <v>57</v>
      </c>
      <c r="B11" s="10" t="s">
        <v>109</v>
      </c>
      <c r="C11" s="10" t="s">
        <v>114</v>
      </c>
      <c r="D11" s="10" t="s">
        <v>115</v>
      </c>
      <c r="E11" s="13" t="s">
        <v>112</v>
      </c>
      <c r="F11" s="10">
        <v>3</v>
      </c>
    </row>
    <row r="12" spans="1:6">
      <c r="A12" s="11" t="s">
        <v>57</v>
      </c>
      <c r="B12" s="11" t="s">
        <v>109</v>
      </c>
      <c r="C12" s="11" t="s">
        <v>110</v>
      </c>
      <c r="D12" s="11" t="s">
        <v>111</v>
      </c>
      <c r="E12" s="12" t="s">
        <v>112</v>
      </c>
      <c r="F12" s="11">
        <v>7</v>
      </c>
    </row>
    <row r="13" spans="1:6">
      <c r="A13" s="10" t="s">
        <v>58</v>
      </c>
      <c r="B13" s="10" t="s">
        <v>109</v>
      </c>
      <c r="C13" s="10" t="s">
        <v>114</v>
      </c>
      <c r="D13" s="10" t="s">
        <v>115</v>
      </c>
      <c r="E13" s="13" t="s">
        <v>112</v>
      </c>
      <c r="F13" s="10">
        <v>5</v>
      </c>
    </row>
    <row r="14" spans="1:6">
      <c r="A14" s="11" t="s">
        <v>58</v>
      </c>
      <c r="B14" s="11" t="s">
        <v>109</v>
      </c>
      <c r="C14" s="11" t="s">
        <v>110</v>
      </c>
      <c r="D14" s="11" t="s">
        <v>111</v>
      </c>
      <c r="E14" s="12" t="s">
        <v>112</v>
      </c>
      <c r="F14" s="11">
        <v>15</v>
      </c>
    </row>
    <row r="15" spans="1:6">
      <c r="A15" s="10" t="s">
        <v>1</v>
      </c>
      <c r="B15" s="10" t="s">
        <v>109</v>
      </c>
      <c r="C15" s="10" t="s">
        <v>114</v>
      </c>
      <c r="D15" s="10" t="s">
        <v>115</v>
      </c>
      <c r="E15" s="13" t="s">
        <v>112</v>
      </c>
      <c r="F15" s="10">
        <v>6</v>
      </c>
    </row>
    <row r="16" spans="1:6">
      <c r="A16" s="11" t="s">
        <v>1</v>
      </c>
      <c r="B16" s="11" t="s">
        <v>109</v>
      </c>
      <c r="C16" s="11" t="s">
        <v>110</v>
      </c>
      <c r="D16" s="11" t="s">
        <v>111</v>
      </c>
      <c r="E16" s="12" t="s">
        <v>112</v>
      </c>
      <c r="F16" s="11">
        <v>21</v>
      </c>
    </row>
    <row r="17" spans="1:6">
      <c r="A17" s="25"/>
      <c r="B17" s="25"/>
      <c r="C17" s="25"/>
      <c r="D17" s="25"/>
      <c r="E17" s="26" t="s">
        <v>84</v>
      </c>
      <c r="F17" s="15" t="str">
        <f>SUM(F5:F16)</f>
        <v>0</v>
      </c>
    </row>
    <row r="20" spans="1:6">
      <c r="A20" s="6" t="s">
        <v>35</v>
      </c>
      <c r="B20" s="8"/>
      <c r="C20" s="8"/>
      <c r="D20" s="8"/>
      <c r="E20" s="8"/>
      <c r="F20" s="8"/>
    </row>
    <row r="22" spans="1:6" customHeight="1" ht="30">
      <c r="A22" s="20" t="s">
        <v>36</v>
      </c>
      <c r="B22" s="18"/>
      <c r="C22" s="21" t="s">
        <v>37</v>
      </c>
      <c r="D22"/>
      <c r="E22"/>
      <c r="F22"/>
    </row>
    <row r="23" spans="1:6">
      <c r="A23" s="20" t="s">
        <v>118</v>
      </c>
      <c r="B23" s="18"/>
      <c r="C23" t="s">
        <v>119</v>
      </c>
      <c r="D23"/>
      <c r="E23"/>
      <c r="F23"/>
    </row>
    <row r="24" spans="1:6" customHeight="1" ht="30">
      <c r="A24" s="20" t="s">
        <v>120</v>
      </c>
      <c r="B24" s="18"/>
      <c r="C24" s="21" t="s">
        <v>121</v>
      </c>
      <c r="D24"/>
      <c r="E24"/>
      <c r="F2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F1"/>
    <mergeCell ref="A2:F2"/>
    <mergeCell ref="A20:F20"/>
    <mergeCell ref="A22:B22"/>
    <mergeCell ref="C22:F22"/>
    <mergeCell ref="A23:B23"/>
    <mergeCell ref="C23:F23"/>
    <mergeCell ref="A24:B24"/>
    <mergeCell ref="C24:F2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WE&amp;RPrinted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T26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0" hidden="true" customWidth="true" style="0"/>
    <col min="12" max="12" width="10" customWidth="true" style="0"/>
    <col min="13" max="13" width="10" hidden="true" customWidth="true" style="0"/>
    <col min="14" max="14" width="11" customWidth="true" style="0"/>
    <col min="15" max="15" width="8" customWidth="true" style="0"/>
    <col min="16" max="16" width="8" customWidth="true" style="0"/>
    <col min="17" max="17" width="8" customWidth="true" style="0"/>
    <col min="18" max="18" width="15" customWidth="true" style="0"/>
    <col min="19" max="19" width="10" customWidth="true" style="0"/>
    <col min="20" max="20" width="15" customWidth="true" style="0"/>
  </cols>
  <sheetData>
    <row r="1" spans="1:20">
      <c r="A1" s="6" t="s">
        <v>122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0">
      <c r="A2" s="7" t="s">
        <v>123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0">
      <c r="A3" s="7" t="s">
        <v>124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5" spans="1:20">
      <c r="A5" s="27" t="s">
        <v>102</v>
      </c>
      <c r="B5" s="23" t="s">
        <v>125</v>
      </c>
      <c r="C5" s="27" t="s">
        <v>126</v>
      </c>
      <c r="D5" s="23" t="s">
        <v>127</v>
      </c>
      <c r="E5" s="23" t="s">
        <v>128</v>
      </c>
      <c r="F5" s="23" t="s">
        <v>129</v>
      </c>
      <c r="G5" s="27" t="s">
        <v>130</v>
      </c>
      <c r="H5" s="27" t="s">
        <v>131</v>
      </c>
      <c r="I5" s="27" t="s">
        <v>132</v>
      </c>
      <c r="J5" s="27" t="s">
        <v>133</v>
      </c>
      <c r="K5" s="27" t="s">
        <v>134</v>
      </c>
      <c r="L5" s="27" t="s">
        <v>135</v>
      </c>
      <c r="M5" s="27" t="s">
        <v>136</v>
      </c>
      <c r="N5" s="27" t="s">
        <v>137</v>
      </c>
      <c r="O5" s="27" t="s">
        <v>138</v>
      </c>
      <c r="P5" s="27" t="s">
        <v>54</v>
      </c>
      <c r="Q5" s="27" t="s">
        <v>55</v>
      </c>
      <c r="R5" s="27" t="s">
        <v>139</v>
      </c>
      <c r="S5" s="27" t="s">
        <v>140</v>
      </c>
      <c r="T5" s="27" t="s">
        <v>141</v>
      </c>
    </row>
    <row r="6" spans="1:20">
      <c r="A6" s="28" t="s">
        <v>57</v>
      </c>
      <c r="B6" s="28" t="s">
        <v>18</v>
      </c>
      <c r="C6" s="28">
        <v>201610</v>
      </c>
      <c r="D6" s="28" t="s">
        <v>142</v>
      </c>
      <c r="E6" s="28" t="s">
        <v>143</v>
      </c>
      <c r="F6" s="28" t="s">
        <v>144</v>
      </c>
      <c r="G6" s="28">
        <v>1</v>
      </c>
      <c r="H6" s="28">
        <v>35</v>
      </c>
      <c r="I6" s="28">
        <v>38</v>
      </c>
      <c r="J6" s="28">
        <v>38</v>
      </c>
      <c r="K6" s="28">
        <v>35</v>
      </c>
      <c r="L6" s="29">
        <v>0.92105</v>
      </c>
      <c r="M6" s="28">
        <v>38</v>
      </c>
      <c r="N6" s="29">
        <v>1</v>
      </c>
      <c r="O6" s="28">
        <v>1.125</v>
      </c>
      <c r="P6" s="28">
        <v>42.75</v>
      </c>
      <c r="Q6" s="28">
        <v>0.07</v>
      </c>
      <c r="R6" s="28">
        <v>610.71</v>
      </c>
      <c r="S6" s="28">
        <v>1.33</v>
      </c>
      <c r="T6" s="28">
        <v>32.14</v>
      </c>
    </row>
    <row r="7" spans="1:20">
      <c r="A7" s="24" t="s">
        <v>57</v>
      </c>
      <c r="B7" s="24" t="s">
        <v>19</v>
      </c>
      <c r="C7" s="24">
        <v>201615</v>
      </c>
      <c r="D7" s="24" t="s">
        <v>142</v>
      </c>
      <c r="E7" s="24" t="s">
        <v>143</v>
      </c>
      <c r="F7" s="24" t="s">
        <v>144</v>
      </c>
      <c r="G7" s="24">
        <v>1</v>
      </c>
      <c r="H7" s="24">
        <v>9</v>
      </c>
      <c r="I7" s="24">
        <v>9</v>
      </c>
      <c r="J7" s="24">
        <v>12</v>
      </c>
      <c r="K7" s="24">
        <v>9</v>
      </c>
      <c r="L7" s="30">
        <v>0.75</v>
      </c>
      <c r="M7" s="24">
        <v>9</v>
      </c>
      <c r="N7" s="30">
        <v>0.75</v>
      </c>
      <c r="O7" s="24">
        <v>1.125</v>
      </c>
      <c r="P7" s="24">
        <v>13.5</v>
      </c>
      <c r="Q7" s="24">
        <v>0.07</v>
      </c>
      <c r="R7" s="24">
        <v>192.86</v>
      </c>
      <c r="S7" s="24">
        <v>0.41</v>
      </c>
      <c r="T7" s="24">
        <v>32.93</v>
      </c>
    </row>
    <row r="8" spans="1:20">
      <c r="A8" s="28" t="s">
        <v>57</v>
      </c>
      <c r="B8" s="28" t="s">
        <v>20</v>
      </c>
      <c r="C8" s="28">
        <v>201620</v>
      </c>
      <c r="D8" s="28" t="s">
        <v>142</v>
      </c>
      <c r="E8" s="28" t="s">
        <v>143</v>
      </c>
      <c r="F8" s="28" t="s">
        <v>144</v>
      </c>
      <c r="G8" s="28">
        <v>1</v>
      </c>
      <c r="H8" s="28">
        <v>18</v>
      </c>
      <c r="I8" s="28">
        <v>29</v>
      </c>
      <c r="J8" s="28">
        <v>34</v>
      </c>
      <c r="K8" s="28">
        <v>18</v>
      </c>
      <c r="L8" s="29">
        <v>0.52941</v>
      </c>
      <c r="M8" s="28">
        <v>29</v>
      </c>
      <c r="N8" s="29">
        <v>0.85294</v>
      </c>
      <c r="O8" s="28">
        <v>1.125</v>
      </c>
      <c r="P8" s="28">
        <v>38.25</v>
      </c>
      <c r="Q8" s="28">
        <v>0.07</v>
      </c>
      <c r="R8" s="28">
        <v>546.43</v>
      </c>
      <c r="S8" s="28">
        <v>1.19</v>
      </c>
      <c r="T8" s="28">
        <v>32.14</v>
      </c>
    </row>
    <row r="9" spans="1:20">
      <c r="A9" s="24" t="s">
        <v>57</v>
      </c>
      <c r="B9" s="24" t="s">
        <v>21</v>
      </c>
      <c r="C9" s="24">
        <v>201630</v>
      </c>
      <c r="D9" s="24" t="s">
        <v>142</v>
      </c>
      <c r="E9" s="24" t="s">
        <v>143</v>
      </c>
      <c r="F9" s="24" t="s">
        <v>145</v>
      </c>
      <c r="G9" s="24">
        <v>1</v>
      </c>
      <c r="H9" s="24">
        <v>20</v>
      </c>
      <c r="I9" s="24">
        <v>20</v>
      </c>
      <c r="J9" s="24">
        <v>21</v>
      </c>
      <c r="K9" s="24">
        <v>20</v>
      </c>
      <c r="L9" s="30">
        <v>0.95238</v>
      </c>
      <c r="M9" s="24">
        <v>20</v>
      </c>
      <c r="N9" s="30">
        <v>0.95238</v>
      </c>
      <c r="O9" s="24">
        <v>1.125</v>
      </c>
      <c r="P9" s="24">
        <v>23.625</v>
      </c>
      <c r="Q9" s="24">
        <v>0.07</v>
      </c>
      <c r="R9" s="24">
        <v>337.5</v>
      </c>
      <c r="S9" s="24">
        <v>0.72</v>
      </c>
      <c r="T9" s="24">
        <v>32.81</v>
      </c>
    </row>
    <row r="10" spans="1:20">
      <c r="A10" s="28" t="s">
        <v>58</v>
      </c>
      <c r="B10" s="28" t="s">
        <v>22</v>
      </c>
      <c r="C10" s="28">
        <v>201710</v>
      </c>
      <c r="D10" s="28" t="s">
        <v>142</v>
      </c>
      <c r="E10" s="28" t="s">
        <v>143</v>
      </c>
      <c r="F10" s="28" t="s">
        <v>144</v>
      </c>
      <c r="G10" s="28">
        <v>1</v>
      </c>
      <c r="H10" s="28">
        <v>24</v>
      </c>
      <c r="I10" s="28">
        <v>31</v>
      </c>
      <c r="J10" s="28">
        <v>34</v>
      </c>
      <c r="K10" s="28">
        <v>24</v>
      </c>
      <c r="L10" s="29">
        <v>0.70588</v>
      </c>
      <c r="M10" s="28">
        <v>31</v>
      </c>
      <c r="N10" s="29">
        <v>0.91176</v>
      </c>
      <c r="O10" s="28">
        <v>1.125</v>
      </c>
      <c r="P10" s="28">
        <v>38.25</v>
      </c>
      <c r="Q10" s="28">
        <v>0.07</v>
      </c>
      <c r="R10" s="28">
        <v>546.43</v>
      </c>
      <c r="S10" s="28">
        <v>1.17</v>
      </c>
      <c r="T10" s="28">
        <v>32.69</v>
      </c>
    </row>
    <row r="11" spans="1:20">
      <c r="A11" s="24" t="s">
        <v>58</v>
      </c>
      <c r="B11" s="24" t="s">
        <v>23</v>
      </c>
      <c r="C11" s="24">
        <v>201715</v>
      </c>
      <c r="D11" s="24" t="s">
        <v>142</v>
      </c>
      <c r="E11" s="24" t="s">
        <v>143</v>
      </c>
      <c r="F11" s="24" t="s">
        <v>144</v>
      </c>
      <c r="G11" s="24">
        <v>1</v>
      </c>
      <c r="H11" s="24">
        <v>24</v>
      </c>
      <c r="I11" s="24">
        <v>24</v>
      </c>
      <c r="J11" s="24">
        <v>24</v>
      </c>
      <c r="K11" s="24">
        <v>24</v>
      </c>
      <c r="L11" s="30">
        <v>1</v>
      </c>
      <c r="M11" s="24">
        <v>24</v>
      </c>
      <c r="N11" s="30">
        <v>1</v>
      </c>
      <c r="O11" s="24">
        <v>1.125</v>
      </c>
      <c r="P11" s="24">
        <v>27</v>
      </c>
      <c r="Q11" s="24">
        <v>0.07</v>
      </c>
      <c r="R11" s="24">
        <v>385.71</v>
      </c>
      <c r="S11" s="24">
        <v>0.84</v>
      </c>
      <c r="T11" s="24">
        <v>32.14</v>
      </c>
    </row>
    <row r="12" spans="1:20">
      <c r="A12" s="28" t="s">
        <v>58</v>
      </c>
      <c r="B12" s="28" t="s">
        <v>24</v>
      </c>
      <c r="C12" s="28">
        <v>201720</v>
      </c>
      <c r="D12" s="28" t="s">
        <v>142</v>
      </c>
      <c r="E12" s="28" t="s">
        <v>143</v>
      </c>
      <c r="F12" s="28" t="s">
        <v>144</v>
      </c>
      <c r="G12" s="28">
        <v>1</v>
      </c>
      <c r="H12" s="28">
        <v>22</v>
      </c>
      <c r="I12" s="28">
        <v>28</v>
      </c>
      <c r="J12" s="28">
        <v>28</v>
      </c>
      <c r="K12" s="28">
        <v>22</v>
      </c>
      <c r="L12" s="29">
        <v>0.78571</v>
      </c>
      <c r="M12" s="28">
        <v>28</v>
      </c>
      <c r="N12" s="29">
        <v>1</v>
      </c>
      <c r="O12" s="28">
        <v>1.125</v>
      </c>
      <c r="P12" s="28">
        <v>31.5</v>
      </c>
      <c r="Q12" s="28">
        <v>0.07</v>
      </c>
      <c r="R12" s="28">
        <v>450</v>
      </c>
      <c r="S12" s="28">
        <v>0.93</v>
      </c>
      <c r="T12" s="28">
        <v>33.87</v>
      </c>
    </row>
    <row r="13" spans="1:20">
      <c r="A13" s="24" t="s">
        <v>58</v>
      </c>
      <c r="B13" s="24" t="s">
        <v>25</v>
      </c>
      <c r="C13" s="24">
        <v>201730</v>
      </c>
      <c r="D13" s="24" t="s">
        <v>142</v>
      </c>
      <c r="E13" s="24" t="s">
        <v>143</v>
      </c>
      <c r="F13" s="24" t="s">
        <v>145</v>
      </c>
      <c r="G13" s="24">
        <v>1</v>
      </c>
      <c r="H13" s="24">
        <v>19</v>
      </c>
      <c r="I13" s="24">
        <v>20</v>
      </c>
      <c r="J13" s="24">
        <v>21</v>
      </c>
      <c r="K13" s="24">
        <v>19</v>
      </c>
      <c r="L13" s="30">
        <v>0.90476</v>
      </c>
      <c r="M13" s="24">
        <v>20</v>
      </c>
      <c r="N13" s="30">
        <v>0.95238</v>
      </c>
      <c r="O13" s="24">
        <v>1.125</v>
      </c>
      <c r="P13" s="24">
        <v>23.625</v>
      </c>
      <c r="Q13" s="24">
        <v>0.07</v>
      </c>
      <c r="R13" s="24">
        <v>337.5</v>
      </c>
      <c r="S13" s="24">
        <v>0.72</v>
      </c>
      <c r="T13" s="24">
        <v>32.81</v>
      </c>
    </row>
    <row r="14" spans="1:20">
      <c r="A14" s="28" t="s">
        <v>1</v>
      </c>
      <c r="B14" s="28" t="s">
        <v>26</v>
      </c>
      <c r="C14" s="28">
        <v>201810</v>
      </c>
      <c r="D14" s="28" t="s">
        <v>142</v>
      </c>
      <c r="E14" s="28" t="s">
        <v>143</v>
      </c>
      <c r="F14" s="28" t="s">
        <v>144</v>
      </c>
      <c r="G14" s="28">
        <v>1</v>
      </c>
      <c r="H14" s="28">
        <v>29</v>
      </c>
      <c r="I14" s="28">
        <v>31</v>
      </c>
      <c r="J14" s="28">
        <v>32</v>
      </c>
      <c r="K14" s="28">
        <v>29</v>
      </c>
      <c r="L14" s="29">
        <v>0.90625</v>
      </c>
      <c r="M14" s="28">
        <v>31</v>
      </c>
      <c r="N14" s="29">
        <v>0.96875</v>
      </c>
      <c r="O14" s="28">
        <v>1.125</v>
      </c>
      <c r="P14" s="28">
        <v>36</v>
      </c>
      <c r="Q14" s="28">
        <v>0.07</v>
      </c>
      <c r="R14" s="28">
        <v>514.29</v>
      </c>
      <c r="S14" s="28">
        <v>1.1</v>
      </c>
      <c r="T14" s="28">
        <v>32.73</v>
      </c>
    </row>
    <row r="15" spans="1:20">
      <c r="A15" s="24" t="s">
        <v>1</v>
      </c>
      <c r="B15" s="24" t="s">
        <v>27</v>
      </c>
      <c r="C15" s="24">
        <v>201815</v>
      </c>
      <c r="D15" s="24" t="s">
        <v>142</v>
      </c>
      <c r="E15" s="24" t="s">
        <v>143</v>
      </c>
      <c r="F15" s="24" t="s">
        <v>144</v>
      </c>
      <c r="G15" s="24">
        <v>1</v>
      </c>
      <c r="H15" s="24">
        <v>19</v>
      </c>
      <c r="I15" s="24">
        <v>24</v>
      </c>
      <c r="J15" s="24">
        <v>25</v>
      </c>
      <c r="K15" s="24">
        <v>19</v>
      </c>
      <c r="L15" s="30">
        <v>0.76</v>
      </c>
      <c r="M15" s="24">
        <v>24</v>
      </c>
      <c r="N15" s="30">
        <v>0.96</v>
      </c>
      <c r="O15" s="24">
        <v>1.125</v>
      </c>
      <c r="P15" s="24">
        <v>28.125</v>
      </c>
      <c r="Q15" s="24">
        <v>0.07</v>
      </c>
      <c r="R15" s="24">
        <v>401.79</v>
      </c>
      <c r="S15" s="24">
        <v>0.86</v>
      </c>
      <c r="T15" s="24">
        <v>32.7</v>
      </c>
    </row>
    <row r="16" spans="1:20">
      <c r="A16" s="28" t="s">
        <v>1</v>
      </c>
      <c r="B16" s="28" t="s">
        <v>28</v>
      </c>
      <c r="C16" s="28">
        <v>201820</v>
      </c>
      <c r="D16" s="28" t="s">
        <v>142</v>
      </c>
      <c r="E16" s="28" t="s">
        <v>143</v>
      </c>
      <c r="F16" s="28" t="s">
        <v>144</v>
      </c>
      <c r="G16" s="28">
        <v>2</v>
      </c>
      <c r="H16" s="28">
        <v>34</v>
      </c>
      <c r="I16" s="28">
        <v>41</v>
      </c>
      <c r="J16" s="28">
        <v>48</v>
      </c>
      <c r="K16" s="28">
        <v>34</v>
      </c>
      <c r="L16" s="29">
        <v>0.70833</v>
      </c>
      <c r="M16" s="28">
        <v>41</v>
      </c>
      <c r="N16" s="29">
        <v>0.85417</v>
      </c>
      <c r="O16" s="28">
        <v>1.125</v>
      </c>
      <c r="P16" s="28">
        <v>54</v>
      </c>
      <c r="Q16" s="28">
        <v>0.13</v>
      </c>
      <c r="R16" s="28">
        <v>415.38</v>
      </c>
      <c r="S16" s="28">
        <v>1.66</v>
      </c>
      <c r="T16" s="28">
        <v>32.53</v>
      </c>
    </row>
    <row r="17" spans="1:20">
      <c r="A17" s="24" t="s">
        <v>1</v>
      </c>
      <c r="B17" s="24" t="s">
        <v>29</v>
      </c>
      <c r="C17" s="24">
        <v>201830</v>
      </c>
      <c r="D17" s="24" t="s">
        <v>142</v>
      </c>
      <c r="E17" s="24" t="s">
        <v>143</v>
      </c>
      <c r="F17" s="24" t="s">
        <v>144</v>
      </c>
      <c r="G17" s="24">
        <v>1</v>
      </c>
      <c r="H17" s="24">
        <v>19</v>
      </c>
      <c r="I17" s="24">
        <v>20</v>
      </c>
      <c r="J17" s="24">
        <v>22</v>
      </c>
      <c r="K17" s="24">
        <v>19</v>
      </c>
      <c r="L17" s="30">
        <v>0.86364</v>
      </c>
      <c r="M17" s="24">
        <v>20</v>
      </c>
      <c r="N17" s="30">
        <v>0.90909</v>
      </c>
      <c r="O17" s="24">
        <v>1.125</v>
      </c>
      <c r="P17" s="24">
        <v>24.75</v>
      </c>
      <c r="Q17" s="24">
        <v>0.07</v>
      </c>
      <c r="R17" s="24">
        <v>353.57</v>
      </c>
      <c r="S17" s="24">
        <v>0.77</v>
      </c>
      <c r="T17" s="24">
        <v>32.14</v>
      </c>
    </row>
    <row r="18" spans="1:20">
      <c r="A18" s="28" t="s">
        <v>57</v>
      </c>
      <c r="B18" s="28" t="s">
        <v>20</v>
      </c>
      <c r="C18" s="28">
        <v>201620</v>
      </c>
      <c r="D18" s="28" t="s">
        <v>142</v>
      </c>
      <c r="E18" s="28" t="s">
        <v>146</v>
      </c>
      <c r="F18" s="28" t="s">
        <v>144</v>
      </c>
      <c r="G18" s="28">
        <v>1</v>
      </c>
      <c r="H18" s="28">
        <v>2</v>
      </c>
      <c r="I18" s="28">
        <v>2</v>
      </c>
      <c r="J18" s="28">
        <v>3</v>
      </c>
      <c r="K18" s="28">
        <v>2</v>
      </c>
      <c r="L18" s="29">
        <v>0.66667</v>
      </c>
      <c r="M18" s="28">
        <v>2</v>
      </c>
      <c r="N18" s="29">
        <v>0.66667</v>
      </c>
      <c r="O18" s="28">
        <v>3.938</v>
      </c>
      <c r="P18" s="28">
        <v>11.813</v>
      </c>
      <c r="Q18" s="28">
        <v>0</v>
      </c>
      <c r="R18" s="28">
        <v>0</v>
      </c>
      <c r="S18" s="28">
        <v>0.09</v>
      </c>
      <c r="T18" s="28">
        <v>131.25</v>
      </c>
    </row>
    <row r="19" spans="1:20">
      <c r="A19" s="24" t="s">
        <v>58</v>
      </c>
      <c r="B19" s="24" t="s">
        <v>22</v>
      </c>
      <c r="C19" s="24">
        <v>201710</v>
      </c>
      <c r="D19" s="24" t="s">
        <v>142</v>
      </c>
      <c r="E19" s="24" t="s">
        <v>146</v>
      </c>
      <c r="F19" s="24" t="s">
        <v>144</v>
      </c>
      <c r="G19" s="24">
        <v>1</v>
      </c>
      <c r="H19" s="24">
        <v>2</v>
      </c>
      <c r="I19" s="24">
        <v>2</v>
      </c>
      <c r="J19" s="24">
        <v>2</v>
      </c>
      <c r="K19" s="24">
        <v>2</v>
      </c>
      <c r="L19" s="30">
        <v>1</v>
      </c>
      <c r="M19" s="24">
        <v>2</v>
      </c>
      <c r="N19" s="30">
        <v>1</v>
      </c>
      <c r="O19" s="24">
        <v>3.938</v>
      </c>
      <c r="P19" s="24">
        <v>7.875</v>
      </c>
      <c r="Q19" s="24">
        <v>0</v>
      </c>
      <c r="R19" s="24">
        <v>0</v>
      </c>
      <c r="S19" s="24">
        <v>0.06</v>
      </c>
      <c r="T19" s="24">
        <v>131.25</v>
      </c>
    </row>
    <row r="20" spans="1:20">
      <c r="A20" s="28" t="s">
        <v>1</v>
      </c>
      <c r="B20" s="28" t="s">
        <v>26</v>
      </c>
      <c r="C20" s="28">
        <v>201810</v>
      </c>
      <c r="D20" s="28" t="s">
        <v>142</v>
      </c>
      <c r="E20" s="28" t="s">
        <v>146</v>
      </c>
      <c r="F20" s="28" t="s">
        <v>144</v>
      </c>
      <c r="G20" s="28">
        <v>1</v>
      </c>
      <c r="H20" s="28">
        <v>0</v>
      </c>
      <c r="I20" s="28">
        <v>0</v>
      </c>
      <c r="J20" s="28">
        <v>1</v>
      </c>
      <c r="K20" s="28">
        <v>0</v>
      </c>
      <c r="L20" s="29">
        <v>0</v>
      </c>
      <c r="M20" s="28">
        <v>0</v>
      </c>
      <c r="N20" s="29">
        <v>0</v>
      </c>
      <c r="O20" s="28">
        <v>3.938</v>
      </c>
      <c r="P20" s="28">
        <v>3.938</v>
      </c>
      <c r="Q20" s="28">
        <v>0</v>
      </c>
      <c r="R20" s="28">
        <v>0</v>
      </c>
      <c r="S20" s="28">
        <v>0.03</v>
      </c>
      <c r="T20" s="28">
        <v>131.25</v>
      </c>
    </row>
    <row r="21" spans="1:20">
      <c r="A21" s="24" t="s">
        <v>57</v>
      </c>
      <c r="B21" s="24" t="s">
        <v>18</v>
      </c>
      <c r="C21" s="24">
        <v>201610</v>
      </c>
      <c r="D21" s="24" t="s">
        <v>142</v>
      </c>
      <c r="E21" s="24" t="s">
        <v>147</v>
      </c>
      <c r="F21" s="24" t="s">
        <v>144</v>
      </c>
      <c r="G21" s="24">
        <v>1</v>
      </c>
      <c r="H21" s="24">
        <v>30</v>
      </c>
      <c r="I21" s="24">
        <v>31</v>
      </c>
      <c r="J21" s="24">
        <v>31</v>
      </c>
      <c r="K21" s="24">
        <v>30</v>
      </c>
      <c r="L21" s="30">
        <v>0.96774</v>
      </c>
      <c r="M21" s="24">
        <v>31</v>
      </c>
      <c r="N21" s="30">
        <v>1</v>
      </c>
      <c r="O21" s="24">
        <v>3.938</v>
      </c>
      <c r="P21" s="24">
        <v>122.063</v>
      </c>
      <c r="Q21" s="24">
        <v>0.27</v>
      </c>
      <c r="R21" s="24">
        <v>452.08</v>
      </c>
      <c r="S21" s="24">
        <v>0.94</v>
      </c>
      <c r="T21" s="24">
        <v>129.85</v>
      </c>
    </row>
    <row r="22" spans="1:20">
      <c r="A22" s="28" t="s">
        <v>57</v>
      </c>
      <c r="B22" s="28" t="s">
        <v>20</v>
      </c>
      <c r="C22" s="28">
        <v>201620</v>
      </c>
      <c r="D22" s="28" t="s">
        <v>142</v>
      </c>
      <c r="E22" s="28" t="s">
        <v>147</v>
      </c>
      <c r="F22" s="28" t="s">
        <v>144</v>
      </c>
      <c r="G22" s="28">
        <v>1</v>
      </c>
      <c r="H22" s="28">
        <v>30</v>
      </c>
      <c r="I22" s="28">
        <v>34</v>
      </c>
      <c r="J22" s="28">
        <v>35</v>
      </c>
      <c r="K22" s="28">
        <v>30</v>
      </c>
      <c r="L22" s="29">
        <v>0.85714</v>
      </c>
      <c r="M22" s="28">
        <v>34</v>
      </c>
      <c r="N22" s="29">
        <v>0.97143</v>
      </c>
      <c r="O22" s="28">
        <v>3.938</v>
      </c>
      <c r="P22" s="28">
        <v>137.813</v>
      </c>
      <c r="Q22" s="28">
        <v>0.27</v>
      </c>
      <c r="R22" s="28">
        <v>510.42</v>
      </c>
      <c r="S22" s="28">
        <v>1.07</v>
      </c>
      <c r="T22" s="28">
        <v>128.8</v>
      </c>
    </row>
    <row r="23" spans="1:20">
      <c r="A23" s="24" t="s">
        <v>58</v>
      </c>
      <c r="B23" s="24" t="s">
        <v>22</v>
      </c>
      <c r="C23" s="24">
        <v>201710</v>
      </c>
      <c r="D23" s="24" t="s">
        <v>142</v>
      </c>
      <c r="E23" s="24" t="s">
        <v>147</v>
      </c>
      <c r="F23" s="24" t="s">
        <v>144</v>
      </c>
      <c r="G23" s="24">
        <v>1</v>
      </c>
      <c r="H23" s="24">
        <v>14</v>
      </c>
      <c r="I23" s="24">
        <v>19</v>
      </c>
      <c r="J23" s="24">
        <v>21</v>
      </c>
      <c r="K23" s="24">
        <v>14</v>
      </c>
      <c r="L23" s="30">
        <v>0.66667</v>
      </c>
      <c r="M23" s="24">
        <v>19</v>
      </c>
      <c r="N23" s="30">
        <v>0.90476</v>
      </c>
      <c r="O23" s="24">
        <v>3.938</v>
      </c>
      <c r="P23" s="24">
        <v>82.688</v>
      </c>
      <c r="Q23" s="24">
        <v>0.27</v>
      </c>
      <c r="R23" s="24">
        <v>306.25</v>
      </c>
      <c r="S23" s="24">
        <v>0.64</v>
      </c>
      <c r="T23" s="24">
        <v>129.2</v>
      </c>
    </row>
    <row r="24" spans="1:20">
      <c r="A24" s="28" t="s">
        <v>58</v>
      </c>
      <c r="B24" s="28" t="s">
        <v>24</v>
      </c>
      <c r="C24" s="28">
        <v>201720</v>
      </c>
      <c r="D24" s="28" t="s">
        <v>142</v>
      </c>
      <c r="E24" s="28" t="s">
        <v>147</v>
      </c>
      <c r="F24" s="28" t="s">
        <v>144</v>
      </c>
      <c r="G24" s="28">
        <v>1</v>
      </c>
      <c r="H24" s="28">
        <v>26</v>
      </c>
      <c r="I24" s="28">
        <v>31</v>
      </c>
      <c r="J24" s="28">
        <v>35</v>
      </c>
      <c r="K24" s="28">
        <v>26</v>
      </c>
      <c r="L24" s="29">
        <v>0.74286</v>
      </c>
      <c r="M24" s="28">
        <v>31</v>
      </c>
      <c r="N24" s="29">
        <v>0.88571</v>
      </c>
      <c r="O24" s="28">
        <v>3.938</v>
      </c>
      <c r="P24" s="28">
        <v>137.813</v>
      </c>
      <c r="Q24" s="28">
        <v>0.27</v>
      </c>
      <c r="R24" s="28">
        <v>510.42</v>
      </c>
      <c r="S24" s="28">
        <v>1.07</v>
      </c>
      <c r="T24" s="28">
        <v>128.8</v>
      </c>
    </row>
    <row r="25" spans="1:20">
      <c r="A25" s="24" t="s">
        <v>1</v>
      </c>
      <c r="B25" s="24" t="s">
        <v>26</v>
      </c>
      <c r="C25" s="24">
        <v>201810</v>
      </c>
      <c r="D25" s="24" t="s">
        <v>142</v>
      </c>
      <c r="E25" s="24" t="s">
        <v>147</v>
      </c>
      <c r="F25" s="24" t="s">
        <v>144</v>
      </c>
      <c r="G25" s="24">
        <v>1</v>
      </c>
      <c r="H25" s="24">
        <v>30</v>
      </c>
      <c r="I25" s="24">
        <v>36</v>
      </c>
      <c r="J25" s="24">
        <v>38</v>
      </c>
      <c r="K25" s="24">
        <v>30</v>
      </c>
      <c r="L25" s="30">
        <v>0.78947</v>
      </c>
      <c r="M25" s="24">
        <v>36</v>
      </c>
      <c r="N25" s="30">
        <v>0.94737</v>
      </c>
      <c r="O25" s="24">
        <v>3.938</v>
      </c>
      <c r="P25" s="24">
        <v>149.625</v>
      </c>
      <c r="Q25" s="24">
        <v>0.27</v>
      </c>
      <c r="R25" s="24">
        <v>554.17</v>
      </c>
      <c r="S25" s="24">
        <v>1.16</v>
      </c>
      <c r="T25" s="24">
        <v>128.99</v>
      </c>
    </row>
    <row r="26" spans="1:20">
      <c r="A26" s="28" t="s">
        <v>1</v>
      </c>
      <c r="B26" s="28" t="s">
        <v>28</v>
      </c>
      <c r="C26" s="28">
        <v>201820</v>
      </c>
      <c r="D26" s="28" t="s">
        <v>142</v>
      </c>
      <c r="E26" s="28" t="s">
        <v>147</v>
      </c>
      <c r="F26" s="28" t="s">
        <v>144</v>
      </c>
      <c r="G26" s="28">
        <v>2</v>
      </c>
      <c r="H26" s="28">
        <v>35</v>
      </c>
      <c r="I26" s="28">
        <v>35</v>
      </c>
      <c r="J26" s="28">
        <v>46</v>
      </c>
      <c r="K26" s="28">
        <v>35</v>
      </c>
      <c r="L26" s="29">
        <v>0.76087</v>
      </c>
      <c r="M26" s="28">
        <v>35</v>
      </c>
      <c r="N26" s="29">
        <v>0.76087</v>
      </c>
      <c r="O26" s="28">
        <v>3.938</v>
      </c>
      <c r="P26" s="28">
        <v>181.125</v>
      </c>
      <c r="Q26" s="28">
        <v>0.33</v>
      </c>
      <c r="R26" s="28">
        <v>548.86</v>
      </c>
      <c r="S26" s="28">
        <v>1.81</v>
      </c>
      <c r="T26" s="28">
        <v>100.07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T26"/>
  <mergeCells>
    <mergeCell ref="A1:T1"/>
    <mergeCell ref="A2:T2"/>
    <mergeCell ref="A3:T3"/>
  </mergeCells>
  <conditionalFormatting sqref="L6:L26">
    <cfRule type="cellIs" dxfId="0" priority="1" operator="lessThan">
      <formula>0.7</formula>
    </cfRule>
  </conditionalFormatting>
  <conditionalFormatting sqref="N6:N26">
    <cfRule type="cellIs" dxfId="1" priority="2" operator="lessThan">
      <formula>0.86</formula>
    </cfRule>
  </conditionalFormatting>
  <conditionalFormatting sqref="R6:R26">
    <cfRule type="cellIs" dxfId="2" priority="3" operator="lessThan">
      <formula>565</formula>
    </cfRule>
  </conditionalFormatting>
  <conditionalFormatting sqref="R6:R26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WE&amp;RPrinted on &amp;D</oddHeader>
    <oddFooter>&amp;L&amp;BGenerated By: Office of Institutional Research&amp;RPage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F. SUCC &amp; RET BY GENDER</vt:lpstr>
      <vt:lpstr>G. DEGREES &amp; CERTS</vt:lpstr>
      <vt:lpstr>H. COURSE DATA</vt:lpstr>
      <vt:lpstr>I. 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of Institutional Research</dc:creator>
  <cp:lastModifiedBy>Office of Institutional Research</cp:lastModifiedBy>
  <dcterms:created xsi:type="dcterms:W3CDTF">2018-08-15T01:26:28+02:00</dcterms:created>
  <dcterms:modified xsi:type="dcterms:W3CDTF">2018-08-15T01:26:28+02:00</dcterms:modified>
  <dc:title>2018-2019 IVC Research Report for WE</dc:title>
  <dc:description>WE Specific Report Generated from Banner Data.</dc:description>
  <dc:subject>2018-2019 IVC Research Report for WE</dc:subject>
  <cp:keywords/>
  <cp:category/>
</cp:coreProperties>
</file>