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G. DEGREES &amp; CERTS" sheetId="8" r:id="rId11"/>
    <sheet name="H. COURSE DATA" sheetId="9" r:id="rId12"/>
    <sheet name="I. SECTION DATA" sheetId="10" r:id="rId13"/>
    <sheet name="Worksheet" sheetId="11" r:id="rId14"/>
  </sheets>
  <definedNames>
    <definedName name="course_data">'H. COURSE DATA'!$A$5:$T$38</definedName>
    <definedName name="_xlnm._FilterDatabase" localSheetId="8" hidden="1">'H. COURSE DATA'!$A$5:$T$38</definedName>
    <definedName name="_xlnm.Print_Titles" localSheetId="8">'H. COURSE DATA'!$5:$5</definedName>
    <definedName name="_xlnm._FilterDatabase" localSheetId="9" hidden="1">'I. SECTION DATA'!$A$5:$S$38</definedName>
    <definedName name="_xlnm.Print_Titles" localSheetId="9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<sst xmlns="http://schemas.openxmlformats.org/spreadsheetml/2006/main" uniqueCount="182">
  <si>
    <t>Fire Technology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</si>
  <si>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</si>
  <si>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</si>
  <si>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</si>
  <si>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</si>
  <si>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</si>
  <si>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</si>
  <si>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</si>
  <si>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</si>
  <si>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</si>
  <si>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</si>
  <si>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</si>
  <si>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</si>
  <si>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</si>
  <si>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</si>
  <si>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</si>
  <si>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</si>
  <si>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</si>
  <si>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2014</t>
  </si>
  <si>
    <t>Winter 2015</t>
  </si>
  <si>
    <t>Spring 2015</t>
  </si>
  <si>
    <t>Summer 2015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</si>
  <si>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</si>
  <si>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</si>
  <si>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</si>
  <si>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</si>
  <si>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</si>
  <si>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</si>
  <si>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</si>
  <si>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</si>
  <si>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Totals &amp; Averages:</t>
  </si>
  <si>
    <t>Academic Year</t>
  </si>
  <si>
    <t>2013-2014-2015</t>
  </si>
  <si>
    <t>2014-2015-2016</t>
  </si>
  <si>
    <t>2015-2016-2017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</si>
  <si>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</si>
  <si>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</si>
  <si>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</si>
  <si>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</si>
  <si>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</si>
  <si>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</si>
  <si>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</si>
  <si>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</si>
  <si>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</si>
  <si>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</si>
  <si>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</si>
  <si>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</si>
  <si>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</si>
  <si>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</si>
  <si>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</si>
  <si>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</si>
  <si>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</si>
  <si>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</si>
  <si>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</si>
  <si>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</si>
  <si>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</si>
  <si>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</si>
  <si>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2014-2015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</si>
  <si>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</si>
  <si>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</si>
  <si>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</si>
  <si>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</si>
  <si>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</si>
  <si>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</si>
  <si>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</si>
  <si>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</si>
  <si>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</si>
  <si>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</si>
  <si>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</si>
  <si>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</si>
  <si>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</si>
  <si>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</si>
  <si>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</si>
  <si>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</si>
  <si>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</si>
  <si>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</si>
  <si>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</si>
  <si>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</si>
  <si>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</si>
  <si>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</si>
  <si>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</si>
  <si>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</si>
  <si>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</si>
  <si>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</si>
  <si>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</si>
  <si>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</si>
  <si>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</si>
  <si>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</si>
  <si>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</si>
  <si>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</si>
  <si>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</si>
  <si>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</si>
  <si>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</si>
  <si>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</si>
  <si>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</si>
  <si>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</si>
  <si>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</si>
  <si>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</si>
  <si>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</si>
  <si>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</si>
  <si>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</si>
  <si>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</si>
  <si>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</si>
  <si>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g.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</si>
  <si>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</si>
  <si>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</si>
  <si>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</si>
  <si>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</si>
  <si>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</si>
  <si>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</si>
  <si>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</si>
  <si>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</si>
  <si>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FIRE</t>
  </si>
  <si>
    <t>AS</t>
  </si>
  <si>
    <t>FIRE-AS</t>
  </si>
  <si>
    <t>2012-2013</t>
  </si>
  <si>
    <t>CERT</t>
  </si>
  <si>
    <t>FIRE-CERT</t>
  </si>
  <si>
    <t>FIRF</t>
  </si>
  <si>
    <t>FIREFI-CERT</t>
  </si>
  <si>
    <t>Firefighter I</t>
  </si>
  <si>
    <t>2013-2014</t>
  </si>
  <si>
    <t>Major:</t>
  </si>
  <si>
    <t>Specific subject area that students specialize in.</t>
  </si>
  <si>
    <t>Program:</t>
  </si>
  <si>
    <t>1. a systematic, usually sequential, grouping of courses that forms a considerable part, or all, of the requirements for a degree in a major or professional field; 2. sometimes refers to the total educational offering of an institution.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</si>
  <si>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</si>
  <si>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</si>
  <si>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</si>
  <si>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</si>
  <si>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</si>
  <si>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</si>
  <si>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</si>
  <si>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</si>
  <si>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</si>
  <si>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</si>
  <si>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</si>
  <si>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</si>
  <si>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</si>
  <si>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</si>
  <si>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</si>
  <si>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</si>
  <si>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</si>
  <si>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</si>
  <si>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</si>
  <si>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</si>
  <si>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FIRE100</t>
  </si>
  <si>
    <t>online</t>
  </si>
  <si>
    <t>ex_day</t>
  </si>
  <si>
    <t>FIRE101</t>
  </si>
  <si>
    <t>day</t>
  </si>
  <si>
    <t>FIRE102</t>
  </si>
  <si>
    <t>FIRE103</t>
  </si>
  <si>
    <t>FIRE104</t>
  </si>
  <si>
    <t>FIRE108</t>
  </si>
  <si>
    <t>FIRE109</t>
  </si>
  <si>
    <t>FIRE117</t>
  </si>
  <si>
    <t>FIRE121</t>
  </si>
  <si>
    <t>FIRE122</t>
  </si>
  <si>
    <t>FIRE130</t>
  </si>
  <si>
    <t>FIRE131</t>
  </si>
  <si>
    <t>FIRE140</t>
  </si>
  <si>
    <t>FIRE142</t>
  </si>
  <si>
    <t>FIRE144</t>
  </si>
  <si>
    <t>FIRE220</t>
  </si>
  <si>
    <t>FIRE221</t>
  </si>
  <si>
    <t>FIRE222</t>
  </si>
  <si>
    <t>FIRE224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</si>
  <si>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</si>
  <si>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</si>
  <si>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</si>
  <si>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</si>
  <si>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</si>
  <si>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</si>
  <si>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</si>
  <si>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Malek</t>
  </si>
  <si>
    <t>Herbert</t>
  </si>
  <si>
    <t>Estrada Jr.</t>
  </si>
  <si>
    <t>Short Term</t>
  </si>
  <si>
    <t>Wilson</t>
  </si>
  <si>
    <t>Estrada</t>
  </si>
  <si>
    <t>Holt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</si>
</sst>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45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FIRE&amp;RPrinted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3</v>
      </c>
      <c r="C6" s="12" t="str">
        <f>IF(E6=0, 0, (D6/E6))</f>
        <v>0</v>
      </c>
      <c r="D6" s="11">
        <v>59</v>
      </c>
      <c r="E6" s="11">
        <v>70</v>
      </c>
      <c r="F6" s="11">
        <v>1</v>
      </c>
      <c r="G6" s="12" t="str">
        <f>IF(I6=0, 0, (H6/I6))</f>
        <v>0</v>
      </c>
      <c r="H6" s="11">
        <v>19</v>
      </c>
      <c r="I6" s="11">
        <v>25</v>
      </c>
      <c r="J6" s="11">
        <v>2</v>
      </c>
      <c r="K6" s="12" t="str">
        <f>IF(M6=0, 0, (L6/M6))</f>
        <v>0</v>
      </c>
      <c r="L6" s="11">
        <v>29</v>
      </c>
      <c r="M6" s="11">
        <v>40</v>
      </c>
    </row>
    <row r="7" spans="1:13">
      <c r="A7" s="10" t="s">
        <v>19</v>
      </c>
      <c r="B7" s="10">
        <v>1</v>
      </c>
      <c r="C7" s="13" t="str">
        <f>IF(E7=0, 0, (D7/E7))</f>
        <v>0</v>
      </c>
      <c r="D7" s="10">
        <v>12</v>
      </c>
      <c r="E7" s="10">
        <v>20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2</v>
      </c>
      <c r="C8" s="12" t="str">
        <f>IF(E8=0, 0, (D8/E8))</f>
        <v>0</v>
      </c>
      <c r="D8" s="11">
        <v>38</v>
      </c>
      <c r="E8" s="11">
        <v>40</v>
      </c>
      <c r="F8" s="11">
        <v>3</v>
      </c>
      <c r="G8" s="12" t="str">
        <f>IF(I8=0, 0, (H8/I8))</f>
        <v>0</v>
      </c>
      <c r="H8" s="11">
        <v>56</v>
      </c>
      <c r="I8" s="11">
        <v>65</v>
      </c>
      <c r="J8" s="11">
        <v>1</v>
      </c>
      <c r="K8" s="12" t="str">
        <f>IF(M8=0, 0, (L8/M8))</f>
        <v>0</v>
      </c>
      <c r="L8" s="11">
        <v>13</v>
      </c>
      <c r="M8" s="11">
        <v>20</v>
      </c>
    </row>
    <row r="9" spans="1:13">
      <c r="A9" s="10" t="s">
        <v>21</v>
      </c>
      <c r="B9" s="10">
        <v>1</v>
      </c>
      <c r="C9" s="13" t="str">
        <f>IF(E9=0, 0, (D9/E9))</f>
        <v>0</v>
      </c>
      <c r="D9" s="10">
        <v>14</v>
      </c>
      <c r="E9" s="10">
        <v>20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1</v>
      </c>
      <c r="C10" s="12" t="str">
        <f>IF(E10=0, 0, (D10/E10))</f>
        <v>0</v>
      </c>
      <c r="D10" s="11">
        <v>26</v>
      </c>
      <c r="E10" s="11">
        <v>30</v>
      </c>
      <c r="F10" s="11">
        <v>1</v>
      </c>
      <c r="G10" s="12" t="str">
        <f>IF(I10=0, 0, (H10/I10))</f>
        <v>0</v>
      </c>
      <c r="H10" s="11">
        <v>16</v>
      </c>
      <c r="I10" s="11">
        <v>20</v>
      </c>
      <c r="J10" s="11">
        <v>1</v>
      </c>
      <c r="K10" s="12" t="str">
        <f>IF(M10=0, 0, (L10/M10))</f>
        <v>0</v>
      </c>
      <c r="L10" s="11">
        <v>14</v>
      </c>
      <c r="M10" s="11">
        <v>20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0</v>
      </c>
      <c r="C12" s="12" t="str">
        <f>IF(E12=0, 0, (D12/E12))</f>
        <v>0</v>
      </c>
      <c r="D12" s="11">
        <v>0</v>
      </c>
      <c r="E12" s="11">
        <v>0</v>
      </c>
      <c r="F12" s="11">
        <v>3</v>
      </c>
      <c r="G12" s="12" t="str">
        <f>IF(I12=0, 0, (H12/I12))</f>
        <v>0</v>
      </c>
      <c r="H12" s="11">
        <v>47</v>
      </c>
      <c r="I12" s="11">
        <v>64</v>
      </c>
      <c r="J12" s="11">
        <v>1</v>
      </c>
      <c r="K12" s="12" t="str">
        <f>IF(M12=0, 0, (L12/M12))</f>
        <v>0</v>
      </c>
      <c r="L12" s="11">
        <v>17</v>
      </c>
      <c r="M12" s="11">
        <v>20</v>
      </c>
    </row>
    <row r="13" spans="1:13">
      <c r="A13" s="10" t="s">
        <v>25</v>
      </c>
      <c r="B13" s="10">
        <v>1</v>
      </c>
      <c r="C13" s="13" t="str">
        <f>IF(E13=0, 0, (D13/E13))</f>
        <v>0</v>
      </c>
      <c r="D13" s="10">
        <v>15</v>
      </c>
      <c r="E13" s="10">
        <v>24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2</v>
      </c>
      <c r="C14" s="12" t="str">
        <f>IF(E14=0, 0, (D14/E14))</f>
        <v>0</v>
      </c>
      <c r="D14" s="11">
        <v>46</v>
      </c>
      <c r="E14" s="11">
        <v>50</v>
      </c>
      <c r="F14" s="11">
        <v>3</v>
      </c>
      <c r="G14" s="12" t="str">
        <f>IF(I14=0, 0, (H14/I14))</f>
        <v>0</v>
      </c>
      <c r="H14" s="11">
        <v>62</v>
      </c>
      <c r="I14" s="11">
        <v>76</v>
      </c>
      <c r="J14" s="11">
        <v>1</v>
      </c>
      <c r="K14" s="12" t="str">
        <f>IF(M14=0, 0, (L14/M14))</f>
        <v>0</v>
      </c>
      <c r="L14" s="11">
        <v>14</v>
      </c>
      <c r="M14" s="11">
        <v>20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0</v>
      </c>
      <c r="C16" s="12" t="str">
        <f>IF(E16=0, 0, (D16/E16))</f>
        <v>0</v>
      </c>
      <c r="D16" s="11">
        <v>0</v>
      </c>
      <c r="E16" s="11">
        <v>0</v>
      </c>
      <c r="F16" s="11">
        <v>3</v>
      </c>
      <c r="G16" s="12" t="str">
        <f>IF(I16=0, 0, (H16/I16))</f>
        <v>0</v>
      </c>
      <c r="H16" s="11">
        <v>39</v>
      </c>
      <c r="I16" s="11">
        <v>64</v>
      </c>
      <c r="J16" s="11">
        <v>1</v>
      </c>
      <c r="K16" s="12" t="str">
        <f>IF(M16=0, 0, (L16/M16))</f>
        <v>0</v>
      </c>
      <c r="L16" s="11">
        <v>14</v>
      </c>
      <c r="M16" s="11">
        <v>20</v>
      </c>
    </row>
    <row r="17" spans="1:13">
      <c r="A17" s="10" t="s">
        <v>29</v>
      </c>
      <c r="B17" s="10">
        <v>1</v>
      </c>
      <c r="C17" s="13" t="str">
        <f>IF(E17=0, 0, (D17/E17))</f>
        <v>0</v>
      </c>
      <c r="D17" s="10">
        <v>13</v>
      </c>
      <c r="E17" s="10">
        <v>24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7</v>
      </c>
      <c r="C22" s="12" t="str">
        <f>IF(E22=0, 0, (D22/E22))</f>
        <v>0</v>
      </c>
      <c r="D22" s="11">
        <v>123</v>
      </c>
      <c r="E22" s="11">
        <v>150</v>
      </c>
      <c r="F22" s="11">
        <v>4</v>
      </c>
      <c r="G22" s="12" t="str">
        <f>IF(I22=0, 0, (H22/I22))</f>
        <v>0</v>
      </c>
      <c r="H22" s="11">
        <v>75</v>
      </c>
      <c r="I22" s="11">
        <v>90</v>
      </c>
      <c r="J22" s="11">
        <v>3</v>
      </c>
      <c r="K22" s="12" t="str">
        <f>IF(M22=0, 0, (L22/M22))</f>
        <v>0</v>
      </c>
      <c r="L22" s="11">
        <v>42</v>
      </c>
      <c r="M22" s="11">
        <v>60</v>
      </c>
    </row>
    <row r="23" spans="1:13">
      <c r="A23" s="10" t="s">
        <v>33</v>
      </c>
      <c r="B23" s="10">
        <v>2</v>
      </c>
      <c r="C23" s="13" t="str">
        <f>IF(E23=0, 0, (D23/E23))</f>
        <v>0</v>
      </c>
      <c r="D23" s="10">
        <v>41</v>
      </c>
      <c r="E23" s="10">
        <v>54</v>
      </c>
      <c r="F23" s="10">
        <v>4</v>
      </c>
      <c r="G23" s="13" t="str">
        <f>IF(I23=0, 0, (H23/I23))</f>
        <v>0</v>
      </c>
      <c r="H23" s="10">
        <v>63</v>
      </c>
      <c r="I23" s="10">
        <v>84</v>
      </c>
      <c r="J23" s="10">
        <v>2</v>
      </c>
      <c r="K23" s="13" t="str">
        <f>IF(M23=0, 0, (L23/M23))</f>
        <v>0</v>
      </c>
      <c r="L23" s="10">
        <v>31</v>
      </c>
      <c r="M23" s="10">
        <v>40</v>
      </c>
    </row>
    <row r="24" spans="1:13">
      <c r="A24" s="10" t="s">
        <v>34</v>
      </c>
      <c r="B24" s="11">
        <v>3</v>
      </c>
      <c r="C24" s="12" t="str">
        <f>IF(E24=0, 0, (D24/E24))</f>
        <v>0</v>
      </c>
      <c r="D24" s="11">
        <v>59</v>
      </c>
      <c r="E24" s="11">
        <v>74</v>
      </c>
      <c r="F24" s="11">
        <v>6</v>
      </c>
      <c r="G24" s="12" t="str">
        <f>IF(I24=0, 0, (H24/I24))</f>
        <v>0</v>
      </c>
      <c r="H24" s="11">
        <v>101</v>
      </c>
      <c r="I24" s="11">
        <v>140</v>
      </c>
      <c r="J24" s="11">
        <v>2</v>
      </c>
      <c r="K24" s="12" t="str">
        <f>IF(M24=0, 0, (L24/M24))</f>
        <v>0</v>
      </c>
      <c r="L24" s="11">
        <v>28</v>
      </c>
      <c r="M24" s="11">
        <v>40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FIRE&amp;RPrinted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"=201510")</f>
        <v>0</v>
      </c>
      <c r="C5" s="10" t="str">
        <f>SUMIFS(INDEX(course_data, 0, 17), INDEX(course_data, 0, 3), "=201510")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"=201515")</f>
        <v>0</v>
      </c>
      <c r="C6" s="11" t="str">
        <f>SUMIFS(INDEX(course_data, 0, 17), INDEX(course_data, 0, 3), "=201515")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"=201520")</f>
        <v>0</v>
      </c>
      <c r="C7" s="10" t="str">
        <f>SUMIFS(INDEX(course_data, 0, 17), INDEX(course_data, 0, 3), "=201520")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"=201530")</f>
        <v>0</v>
      </c>
      <c r="C8" s="11" t="str">
        <f>SUMIFS(INDEX(course_data, 0, 17), INDEX(course_data, 0, 3), "=201530")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"=201610")</f>
        <v>0</v>
      </c>
      <c r="C9" s="10" t="str">
        <f>SUMIFS(INDEX(course_data, 0, 17), INDEX(course_data, 0, 3), "=201610")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"=201615")</f>
        <v>0</v>
      </c>
      <c r="C10" s="11" t="str">
        <f>SUMIFS(INDEX(course_data, 0, 17), INDEX(course_data, 0, 3), "=201615")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"=201620")</f>
        <v>0</v>
      </c>
      <c r="C11" s="10" t="str">
        <f>SUMIFS(INDEX(course_data, 0, 17), INDEX(course_data, 0, 3), "=201620")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"=201630")</f>
        <v>0</v>
      </c>
      <c r="C12" s="11" t="str">
        <f>SUMIFS(INDEX(course_data, 0, 17), INDEX(course_data, 0, 3), "=201630")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"=201710")</f>
        <v>0</v>
      </c>
      <c r="C13" s="10" t="str">
        <f>SUMIFS(INDEX(course_data, 0, 17), INDEX(course_data, 0, 3), "=201710")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"=201715")</f>
        <v>0</v>
      </c>
      <c r="C14" s="11" t="str">
        <f>SUMIFS(INDEX(course_data, 0, 17), INDEX(course_data, 0, 3), "=201715")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"=201720")</f>
        <v>0</v>
      </c>
      <c r="C15" s="10" t="str">
        <f>SUMIFS(INDEX(course_data, 0, 17), INDEX(course_data, 0, 3), "=201720")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"=201730")</f>
        <v>0</v>
      </c>
      <c r="C16" s="11" t="str">
        <f>SUMIFS(INDEX(course_data, 0, 17), INDEX(course_data, 0, 3), "=201730")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"=2014-2015")</f>
        <v>0</v>
      </c>
      <c r="C20" s="11" t="str">
        <f>SUMIFS(INDEX(course_data, 0, 17), INDEX(course_data, 0, 1), "=2014-2015")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"=2015-2016")</f>
        <v>0</v>
      </c>
      <c r="C21" s="10" t="str">
        <f>SUMIFS(INDEX(course_data, 0, 17), INDEX(course_data, 0, 1), "=2015-2016")</f>
        <v>0</v>
      </c>
      <c r="D21" s="10" t="str">
        <f>IF(B21=0, 0, ROUND((B21/C21), 2))</f>
        <v>0</v>
      </c>
    </row>
    <row r="22" spans="1:10">
      <c r="A22" s="10" t="s">
        <v>59</v>
      </c>
      <c r="B22" s="11" t="str">
        <f>SUMIFS(INDEX(course_data, 0, 16), INDEX(course_data, 0, 1), "=2016-2017")</f>
        <v>0</v>
      </c>
      <c r="C22" s="11" t="str">
        <f>SUMIFS(INDEX(course_data, 0, 17), INDEX(course_data, 0, 1), "=2016-2017")</f>
        <v>0</v>
      </c>
      <c r="D22" s="11" t="str">
        <f>IF(B22=0, 0, ROUND((B22/C22), 2))</f>
        <v>0</v>
      </c>
    </row>
    <row r="25" spans="1:10">
      <c r="A25" s="19" t="s">
        <v>60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61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62</v>
      </c>
      <c r="B32" s="18"/>
      <c r="C32" s="23" t="s">
        <v>63</v>
      </c>
      <c r="D32"/>
      <c r="E32"/>
      <c r="F32"/>
      <c r="G32"/>
      <c r="H32"/>
      <c r="I32"/>
      <c r="J32"/>
    </row>
    <row r="33" spans="1:10" customHeight="1" ht="30">
      <c r="A33" s="22" t="s">
        <v>64</v>
      </c>
      <c r="B33" s="18"/>
      <c r="C33" s="23" t="s">
        <v>65</v>
      </c>
      <c r="D33"/>
      <c r="E33"/>
      <c r="F33"/>
      <c r="G33"/>
      <c r="H33"/>
      <c r="I33"/>
      <c r="J33"/>
    </row>
    <row r="34" spans="1:10" customHeight="1" ht="30">
      <c r="A34" s="24" t="s">
        <v>66</v>
      </c>
      <c r="B34" s="18"/>
      <c r="C34" s="23" t="s">
        <v>67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FIRE&amp;RPrinted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70</v>
      </c>
      <c r="C5" s="9" t="s">
        <v>71</v>
      </c>
      <c r="D5" s="9" t="s">
        <v>72</v>
      </c>
      <c r="E5" s="9" t="s">
        <v>70</v>
      </c>
      <c r="F5" s="9" t="s">
        <v>71</v>
      </c>
      <c r="G5" s="9" t="s">
        <v>72</v>
      </c>
      <c r="H5" s="9" t="s">
        <v>70</v>
      </c>
      <c r="I5" s="9" t="s">
        <v>71</v>
      </c>
      <c r="J5" s="9" t="s">
        <v>72</v>
      </c>
    </row>
    <row r="6" spans="1:10">
      <c r="A6" s="10" t="s">
        <v>18</v>
      </c>
      <c r="B6" s="11" t="str">
        <f>SUMIFS(INDEX(course_data, 0, 10), INDEX(course_data, 0, 3), "=201510", INDEX(course_data, 0, 6), "=day")</f>
        <v>0</v>
      </c>
      <c r="C6" s="12" t="str">
        <f>IF(B6=0, 0, ((SUMIFS(INDEX(course_data, 0, 11), INDEX(course_data, 0, 3), "=201510", INDEX(course_data, 0, 6), "=day"))/B6))</f>
        <v>0</v>
      </c>
      <c r="D6" s="12" t="str">
        <f>IF(B6=0, 0, ((SUMIFS(INDEX(course_data, 0, 13), INDEX(course_data, 0, 3), "=201510", INDEX(course_data, 0, 6), "=day"))/B6))</f>
        <v>0</v>
      </c>
      <c r="E6" s="11" t="str">
        <f>SUMIFS(INDEX(course_data, 0, 10), INDEX(course_data, 0, 3), "=201510", INDEX(course_data, 0, 6), "=ex_day")</f>
        <v>0</v>
      </c>
      <c r="F6" s="12" t="str">
        <f>IF(E6=0, 0, ((SUMIFS(INDEX(course_data, 0, 11), INDEX(course_data, 0, 3), "=201510", INDEX(course_data, 0, 6), "=ex_day"))/E6))</f>
        <v>0</v>
      </c>
      <c r="G6" s="12" t="str">
        <f>IF(E6=0, 0, ((SUMIFS(INDEX(course_data, 0, 13), INDEX(course_data, 0, 3), "=201510", INDEX(course_data, 0, 6), "=ex_day"))/E6))</f>
        <v>0</v>
      </c>
      <c r="H6" s="11" t="str">
        <f>SUMIFS(INDEX(course_data, 0, 10), INDEX(course_data, 0, 3), "=201510", INDEX(course_data, 0, 6), "=online")</f>
        <v>0</v>
      </c>
      <c r="I6" s="12" t="str">
        <f>IF(H6=0, 0, ((SUMIFS(INDEX(course_data, 0, 11), INDEX(course_data, 0, 3), "=201510", INDEX(course_data, 0, 6), "=online"))/H6))</f>
        <v>0</v>
      </c>
      <c r="J6" s="12" t="str">
        <f>IF(H6=0, 0, ((SUMIFS(INDEX(course_data, 0, 13), INDEX(course_data, 0, 3), "=201510",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"=201515", INDEX(course_data, 0, 6), "=day")</f>
        <v>0</v>
      </c>
      <c r="C7" s="13" t="str">
        <f>IF(B7=0, 0, ((SUMIFS(INDEX(course_data, 0, 11), INDEX(course_data, 0, 3), "=201515", INDEX(course_data, 0, 6), "=day"))/B7))</f>
        <v>0</v>
      </c>
      <c r="D7" s="13" t="str">
        <f>IF(B7=0, 0, ((SUMIFS(INDEX(course_data, 0, 13), INDEX(course_data, 0, 3), "=201515", INDEX(course_data, 0, 6), "=day"))/B7))</f>
        <v>0</v>
      </c>
      <c r="E7" s="10" t="str">
        <f>SUMIFS(INDEX(course_data, 0, 10), INDEX(course_data, 0, 3), "=201515", INDEX(course_data, 0, 6), "=ex_day")</f>
        <v>0</v>
      </c>
      <c r="F7" s="13" t="str">
        <f>IF(E7=0, 0, ((SUMIFS(INDEX(course_data, 0, 11), INDEX(course_data, 0, 3), "=201515", INDEX(course_data, 0, 6), "=ex_day"))/E7))</f>
        <v>0</v>
      </c>
      <c r="G7" s="13" t="str">
        <f>IF(E7=0, 0, ((SUMIFS(INDEX(course_data, 0, 13), INDEX(course_data, 0, 3), "=201515", INDEX(course_data, 0, 6), "=ex_day"))/E7))</f>
        <v>0</v>
      </c>
      <c r="H7" s="10" t="str">
        <f>SUMIFS(INDEX(course_data, 0, 10), INDEX(course_data, 0, 3), "=201515", INDEX(course_data, 0, 6), "=online")</f>
        <v>0</v>
      </c>
      <c r="I7" s="13" t="str">
        <f>IF(H7=0, 0, ((SUMIFS(INDEX(course_data, 0, 11), INDEX(course_data, 0, 3), "=201515", INDEX(course_data, 0, 6), "=online"))/H7))</f>
        <v>0</v>
      </c>
      <c r="J7" s="13" t="str">
        <f>IF(H7=0, 0, ((SUMIFS(INDEX(course_data, 0, 13), INDEX(course_data, 0, 3), "=201515",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"=201520", INDEX(course_data, 0, 6), "=day")</f>
        <v>0</v>
      </c>
      <c r="C8" s="12" t="str">
        <f>IF(B8=0, 0, ((SUMIFS(INDEX(course_data, 0, 11), INDEX(course_data, 0, 3), "=201520", INDEX(course_data, 0, 6), "=day"))/B8))</f>
        <v>0</v>
      </c>
      <c r="D8" s="12" t="str">
        <f>IF(B8=0, 0, ((SUMIFS(INDEX(course_data, 0, 13), INDEX(course_data, 0, 3), "=201520", INDEX(course_data, 0, 6), "=day"))/B8))</f>
        <v>0</v>
      </c>
      <c r="E8" s="11" t="str">
        <f>SUMIFS(INDEX(course_data, 0, 10), INDEX(course_data, 0, 3), "=201520", INDEX(course_data, 0, 6), "=ex_day")</f>
        <v>0</v>
      </c>
      <c r="F8" s="12" t="str">
        <f>IF(E8=0, 0, ((SUMIFS(INDEX(course_data, 0, 11), INDEX(course_data, 0, 3), "=201520", INDEX(course_data, 0, 6), "=ex_day"))/E8))</f>
        <v>0</v>
      </c>
      <c r="G8" s="12" t="str">
        <f>IF(E8=0, 0, ((SUMIFS(INDEX(course_data, 0, 13), INDEX(course_data, 0, 3), "=201520", INDEX(course_data, 0, 6), "=ex_day"))/E8))</f>
        <v>0</v>
      </c>
      <c r="H8" s="11" t="str">
        <f>SUMIFS(INDEX(course_data, 0, 10), INDEX(course_data, 0, 3), "=201520", INDEX(course_data, 0, 6), "=online")</f>
        <v>0</v>
      </c>
      <c r="I8" s="12" t="str">
        <f>IF(H8=0, 0, ((SUMIFS(INDEX(course_data, 0, 11), INDEX(course_data, 0, 3), "=201520", INDEX(course_data, 0, 6), "=online"))/H8))</f>
        <v>0</v>
      </c>
      <c r="J8" s="12" t="str">
        <f>IF(H8=0, 0, ((SUMIFS(INDEX(course_data, 0, 13), INDEX(course_data, 0, 3), "=201520",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"=201530", INDEX(course_data, 0, 6), "=day")</f>
        <v>0</v>
      </c>
      <c r="C9" s="13" t="str">
        <f>IF(B9=0, 0, ((SUMIFS(INDEX(course_data, 0, 11), INDEX(course_data, 0, 3), "=201530", INDEX(course_data, 0, 6), "=day"))/B9))</f>
        <v>0</v>
      </c>
      <c r="D9" s="13" t="str">
        <f>IF(B9=0, 0, ((SUMIFS(INDEX(course_data, 0, 13), INDEX(course_data, 0, 3), "=201530", INDEX(course_data, 0, 6), "=day"))/B9))</f>
        <v>0</v>
      </c>
      <c r="E9" s="10" t="str">
        <f>SUMIFS(INDEX(course_data, 0, 10), INDEX(course_data, 0, 3), "=201530", INDEX(course_data, 0, 6), "=ex_day")</f>
        <v>0</v>
      </c>
      <c r="F9" s="13" t="str">
        <f>IF(E9=0, 0, ((SUMIFS(INDEX(course_data, 0, 11), INDEX(course_data, 0, 3), "=201530", INDEX(course_data, 0, 6), "=ex_day"))/E9))</f>
        <v>0</v>
      </c>
      <c r="G9" s="13" t="str">
        <f>IF(E9=0, 0, ((SUMIFS(INDEX(course_data, 0, 13), INDEX(course_data, 0, 3), "=201530", INDEX(course_data, 0, 6), "=ex_day"))/E9))</f>
        <v>0</v>
      </c>
      <c r="H9" s="10" t="str">
        <f>SUMIFS(INDEX(course_data, 0, 10), INDEX(course_data, 0, 3), "=201530", INDEX(course_data, 0, 6), "=online")</f>
        <v>0</v>
      </c>
      <c r="I9" s="13" t="str">
        <f>IF(H9=0, 0, ((SUMIFS(INDEX(course_data, 0, 11), INDEX(course_data, 0, 3), "=201530", INDEX(course_data, 0, 6), "=online"))/H9))</f>
        <v>0</v>
      </c>
      <c r="J9" s="13" t="str">
        <f>IF(H9=0, 0, ((SUMIFS(INDEX(course_data, 0, 13), INDEX(course_data, 0, 3), "=201530",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"=201610", INDEX(course_data, 0, 6), "=day")</f>
        <v>0</v>
      </c>
      <c r="C10" s="12" t="str">
        <f>IF(B10=0, 0, ((SUMIFS(INDEX(course_data, 0, 11), INDEX(course_data, 0, 3), "=201610", INDEX(course_data, 0, 6), "=day"))/B10))</f>
        <v>0</v>
      </c>
      <c r="D10" s="12" t="str">
        <f>IF(B10=0, 0, ((SUMIFS(INDEX(course_data, 0, 13), INDEX(course_data, 0, 3), "=201610", INDEX(course_data, 0, 6), "=day"))/B10))</f>
        <v>0</v>
      </c>
      <c r="E10" s="11" t="str">
        <f>SUMIFS(INDEX(course_data, 0, 10), INDEX(course_data, 0, 3), "=201610", INDEX(course_data, 0, 6), "=ex_day")</f>
        <v>0</v>
      </c>
      <c r="F10" s="12" t="str">
        <f>IF(E10=0, 0, ((SUMIFS(INDEX(course_data, 0, 11), INDEX(course_data, 0, 3), "=201610", INDEX(course_data, 0, 6), "=ex_day"))/E10))</f>
        <v>0</v>
      </c>
      <c r="G10" s="12" t="str">
        <f>IF(E10=0, 0, ((SUMIFS(INDEX(course_data, 0, 13), INDEX(course_data, 0, 3), "=201610", INDEX(course_data, 0, 6), "=ex_day"))/E10))</f>
        <v>0</v>
      </c>
      <c r="H10" s="11" t="str">
        <f>SUMIFS(INDEX(course_data, 0, 10), INDEX(course_data, 0, 3), "=201610", INDEX(course_data, 0, 6), "=online")</f>
        <v>0</v>
      </c>
      <c r="I10" s="12" t="str">
        <f>IF(H10=0, 0, ((SUMIFS(INDEX(course_data, 0, 11), INDEX(course_data, 0, 3), "=201610", INDEX(course_data, 0, 6), "=online"))/H10))</f>
        <v>0</v>
      </c>
      <c r="J10" s="12" t="str">
        <f>IF(H10=0, 0, ((SUMIFS(INDEX(course_data, 0, 13), INDEX(course_data, 0, 3), "=201610",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"=201615", INDEX(course_data, 0, 6), "=day")</f>
        <v>0</v>
      </c>
      <c r="C11" s="13" t="str">
        <f>IF(B11=0, 0, ((SUMIFS(INDEX(course_data, 0, 11), INDEX(course_data, 0, 3), "=201615", INDEX(course_data, 0, 6), "=day"))/B11))</f>
        <v>0</v>
      </c>
      <c r="D11" s="13" t="str">
        <f>IF(B11=0, 0, ((SUMIFS(INDEX(course_data, 0, 13), INDEX(course_data, 0, 3), "=201615", INDEX(course_data, 0, 6), "=day"))/B11))</f>
        <v>0</v>
      </c>
      <c r="E11" s="10" t="str">
        <f>SUMIFS(INDEX(course_data, 0, 10), INDEX(course_data, 0, 3), "=201615", INDEX(course_data, 0, 6), "=ex_day")</f>
        <v>0</v>
      </c>
      <c r="F11" s="13" t="str">
        <f>IF(E11=0, 0, ((SUMIFS(INDEX(course_data, 0, 11), INDEX(course_data, 0, 3), "=201615", INDEX(course_data, 0, 6), "=ex_day"))/E11))</f>
        <v>0</v>
      </c>
      <c r="G11" s="13" t="str">
        <f>IF(E11=0, 0, ((SUMIFS(INDEX(course_data, 0, 13), INDEX(course_data, 0, 3), "=201615", INDEX(course_data, 0, 6), "=ex_day"))/E11))</f>
        <v>0</v>
      </c>
      <c r="H11" s="10" t="str">
        <f>SUMIFS(INDEX(course_data, 0, 10), INDEX(course_data, 0, 3), "=201615", INDEX(course_data, 0, 6), "=online")</f>
        <v>0</v>
      </c>
      <c r="I11" s="13" t="str">
        <f>IF(H11=0, 0, ((SUMIFS(INDEX(course_data, 0, 11), INDEX(course_data, 0, 3), "=201615", INDEX(course_data, 0, 6), "=online"))/H11))</f>
        <v>0</v>
      </c>
      <c r="J11" s="13" t="str">
        <f>IF(H11=0, 0, ((SUMIFS(INDEX(course_data, 0, 13), INDEX(course_data, 0, 3), "=201615",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"=201620", INDEX(course_data, 0, 6), "=day")</f>
        <v>0</v>
      </c>
      <c r="C12" s="12" t="str">
        <f>IF(B12=0, 0, ((SUMIFS(INDEX(course_data, 0, 11), INDEX(course_data, 0, 3), "=201620", INDEX(course_data, 0, 6), "=day"))/B12))</f>
        <v>0</v>
      </c>
      <c r="D12" s="12" t="str">
        <f>IF(B12=0, 0, ((SUMIFS(INDEX(course_data, 0, 13), INDEX(course_data, 0, 3), "=201620", INDEX(course_data, 0, 6), "=day"))/B12))</f>
        <v>0</v>
      </c>
      <c r="E12" s="11" t="str">
        <f>SUMIFS(INDEX(course_data, 0, 10), INDEX(course_data, 0, 3), "=201620", INDEX(course_data, 0, 6), "=ex_day")</f>
        <v>0</v>
      </c>
      <c r="F12" s="12" t="str">
        <f>IF(E12=0, 0, ((SUMIFS(INDEX(course_data, 0, 11), INDEX(course_data, 0, 3), "=201620", INDEX(course_data, 0, 6), "=ex_day"))/E12))</f>
        <v>0</v>
      </c>
      <c r="G12" s="12" t="str">
        <f>IF(E12=0, 0, ((SUMIFS(INDEX(course_data, 0, 13), INDEX(course_data, 0, 3), "=201620", INDEX(course_data, 0, 6), "=ex_day"))/E12))</f>
        <v>0</v>
      </c>
      <c r="H12" s="11" t="str">
        <f>SUMIFS(INDEX(course_data, 0, 10), INDEX(course_data, 0, 3), "=201620", INDEX(course_data, 0, 6), "=online")</f>
        <v>0</v>
      </c>
      <c r="I12" s="12" t="str">
        <f>IF(H12=0, 0, ((SUMIFS(INDEX(course_data, 0, 11), INDEX(course_data, 0, 3), "=201620", INDEX(course_data, 0, 6), "=online"))/H12))</f>
        <v>0</v>
      </c>
      <c r="J12" s="12" t="str">
        <f>IF(H12=0, 0, ((SUMIFS(INDEX(course_data, 0, 13), INDEX(course_data, 0, 3), "=201620",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"=201630", INDEX(course_data, 0, 6), "=day")</f>
        <v>0</v>
      </c>
      <c r="C13" s="13" t="str">
        <f>IF(B13=0, 0, ((SUMIFS(INDEX(course_data, 0, 11), INDEX(course_data, 0, 3), "=201630", INDEX(course_data, 0, 6), "=day"))/B13))</f>
        <v>0</v>
      </c>
      <c r="D13" s="13" t="str">
        <f>IF(B13=0, 0, ((SUMIFS(INDEX(course_data, 0, 13), INDEX(course_data, 0, 3), "=201630", INDEX(course_data, 0, 6), "=day"))/B13))</f>
        <v>0</v>
      </c>
      <c r="E13" s="10" t="str">
        <f>SUMIFS(INDEX(course_data, 0, 10), INDEX(course_data, 0, 3), "=201630", INDEX(course_data, 0, 6), "=ex_day")</f>
        <v>0</v>
      </c>
      <c r="F13" s="13" t="str">
        <f>IF(E13=0, 0, ((SUMIFS(INDEX(course_data, 0, 11), INDEX(course_data, 0, 3), "=201630", INDEX(course_data, 0, 6), "=ex_day"))/E13))</f>
        <v>0</v>
      </c>
      <c r="G13" s="13" t="str">
        <f>IF(E13=0, 0, ((SUMIFS(INDEX(course_data, 0, 13), INDEX(course_data, 0, 3), "=201630", INDEX(course_data, 0, 6), "=ex_day"))/E13))</f>
        <v>0</v>
      </c>
      <c r="H13" s="10" t="str">
        <f>SUMIFS(INDEX(course_data, 0, 10), INDEX(course_data, 0, 3), "=201630", INDEX(course_data, 0, 6), "=online")</f>
        <v>0</v>
      </c>
      <c r="I13" s="13" t="str">
        <f>IF(H13=0, 0, ((SUMIFS(INDEX(course_data, 0, 11), INDEX(course_data, 0, 3), "=201630", INDEX(course_data, 0, 6), "=online"))/H13))</f>
        <v>0</v>
      </c>
      <c r="J13" s="13" t="str">
        <f>IF(H13=0, 0, ((SUMIFS(INDEX(course_data, 0, 13), INDEX(course_data, 0, 3), "=201630",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"=201710", INDEX(course_data, 0, 6), "=day")</f>
        <v>0</v>
      </c>
      <c r="C14" s="12" t="str">
        <f>IF(B14=0, 0, ((SUMIFS(INDEX(course_data, 0, 11), INDEX(course_data, 0, 3), "=201710", INDEX(course_data, 0, 6), "=day"))/B14))</f>
        <v>0</v>
      </c>
      <c r="D14" s="12" t="str">
        <f>IF(B14=0, 0, ((SUMIFS(INDEX(course_data, 0, 13), INDEX(course_data, 0, 3), "=201710", INDEX(course_data, 0, 6), "=day"))/B14))</f>
        <v>0</v>
      </c>
      <c r="E14" s="11" t="str">
        <f>SUMIFS(INDEX(course_data, 0, 10), INDEX(course_data, 0, 3), "=201710", INDEX(course_data, 0, 6), "=ex_day")</f>
        <v>0</v>
      </c>
      <c r="F14" s="12" t="str">
        <f>IF(E14=0, 0, ((SUMIFS(INDEX(course_data, 0, 11), INDEX(course_data, 0, 3), "=201710", INDEX(course_data, 0, 6), "=ex_day"))/E14))</f>
        <v>0</v>
      </c>
      <c r="G14" s="12" t="str">
        <f>IF(E14=0, 0, ((SUMIFS(INDEX(course_data, 0, 13), INDEX(course_data, 0, 3), "=201710", INDEX(course_data, 0, 6), "=ex_day"))/E14))</f>
        <v>0</v>
      </c>
      <c r="H14" s="11" t="str">
        <f>SUMIFS(INDEX(course_data, 0, 10), INDEX(course_data, 0, 3), "=201710", INDEX(course_data, 0, 6), "=online")</f>
        <v>0</v>
      </c>
      <c r="I14" s="12" t="str">
        <f>IF(H14=0, 0, ((SUMIFS(INDEX(course_data, 0, 11), INDEX(course_data, 0, 3), "=201710", INDEX(course_data, 0, 6), "=online"))/H14))</f>
        <v>0</v>
      </c>
      <c r="J14" s="12" t="str">
        <f>IF(H14=0, 0, ((SUMIFS(INDEX(course_data, 0, 13), INDEX(course_data, 0, 3), "=201710",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"=201715", INDEX(course_data, 0, 6), "=day")</f>
        <v>0</v>
      </c>
      <c r="C15" s="13" t="str">
        <f>IF(B15=0, 0, ((SUMIFS(INDEX(course_data, 0, 11), INDEX(course_data, 0, 3), "=201715", INDEX(course_data, 0, 6), "=day"))/B15))</f>
        <v>0</v>
      </c>
      <c r="D15" s="13" t="str">
        <f>IF(B15=0, 0, ((SUMIFS(INDEX(course_data, 0, 13), INDEX(course_data, 0, 3), "=201715", INDEX(course_data, 0, 6), "=day"))/B15))</f>
        <v>0</v>
      </c>
      <c r="E15" s="10" t="str">
        <f>SUMIFS(INDEX(course_data, 0, 10), INDEX(course_data, 0, 3), "=201715", INDEX(course_data, 0, 6), "=ex_day")</f>
        <v>0</v>
      </c>
      <c r="F15" s="13" t="str">
        <f>IF(E15=0, 0, ((SUMIFS(INDEX(course_data, 0, 11), INDEX(course_data, 0, 3), "=201715", INDEX(course_data, 0, 6), "=ex_day"))/E15))</f>
        <v>0</v>
      </c>
      <c r="G15" s="13" t="str">
        <f>IF(E15=0, 0, ((SUMIFS(INDEX(course_data, 0, 13), INDEX(course_data, 0, 3), "=201715", INDEX(course_data, 0, 6), "=ex_day"))/E15))</f>
        <v>0</v>
      </c>
      <c r="H15" s="10" t="str">
        <f>SUMIFS(INDEX(course_data, 0, 10), INDEX(course_data, 0, 3), "=201715", INDEX(course_data, 0, 6), "=online")</f>
        <v>0</v>
      </c>
      <c r="I15" s="13" t="str">
        <f>IF(H15=0, 0, ((SUMIFS(INDEX(course_data, 0, 11), INDEX(course_data, 0, 3), "=201715", INDEX(course_data, 0, 6), "=online"))/H15))</f>
        <v>0</v>
      </c>
      <c r="J15" s="13" t="str">
        <f>IF(H15=0, 0, ((SUMIFS(INDEX(course_data, 0, 13), INDEX(course_data, 0, 3), "=201715",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"=201720", INDEX(course_data, 0, 6), "=day")</f>
        <v>0</v>
      </c>
      <c r="C16" s="12" t="str">
        <f>IF(B16=0, 0, ((SUMIFS(INDEX(course_data, 0, 11), INDEX(course_data, 0, 3), "=201720", INDEX(course_data, 0, 6), "=day"))/B16))</f>
        <v>0</v>
      </c>
      <c r="D16" s="12" t="str">
        <f>IF(B16=0, 0, ((SUMIFS(INDEX(course_data, 0, 13), INDEX(course_data, 0, 3), "=201720", INDEX(course_data, 0, 6), "=day"))/B16))</f>
        <v>0</v>
      </c>
      <c r="E16" s="11" t="str">
        <f>SUMIFS(INDEX(course_data, 0, 10), INDEX(course_data, 0, 3), "=201720", INDEX(course_data, 0, 6), "=ex_day")</f>
        <v>0</v>
      </c>
      <c r="F16" s="12" t="str">
        <f>IF(E16=0, 0, ((SUMIFS(INDEX(course_data, 0, 11), INDEX(course_data, 0, 3), "=201720", INDEX(course_data, 0, 6), "=ex_day"))/E16))</f>
        <v>0</v>
      </c>
      <c r="G16" s="12" t="str">
        <f>IF(E16=0, 0, ((SUMIFS(INDEX(course_data, 0, 13), INDEX(course_data, 0, 3), "=201720", INDEX(course_data, 0, 6), "=ex_day"))/E16))</f>
        <v>0</v>
      </c>
      <c r="H16" s="11" t="str">
        <f>SUMIFS(INDEX(course_data, 0, 10), INDEX(course_data, 0, 3), "=201720", INDEX(course_data, 0, 6), "=online")</f>
        <v>0</v>
      </c>
      <c r="I16" s="12" t="str">
        <f>IF(H16=0, 0, ((SUMIFS(INDEX(course_data, 0, 11), INDEX(course_data, 0, 3), "=201720", INDEX(course_data, 0, 6), "=online"))/H16))</f>
        <v>0</v>
      </c>
      <c r="J16" s="12" t="str">
        <f>IF(H16=0, 0, ((SUMIFS(INDEX(course_data, 0, 13), INDEX(course_data, 0, 3), "=201720",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"=201730", INDEX(course_data, 0, 6), "=day")</f>
        <v>0</v>
      </c>
      <c r="C17" s="13" t="str">
        <f>IF(B17=0, 0, ((SUMIFS(INDEX(course_data, 0, 11), INDEX(course_data, 0, 3), "=201730", INDEX(course_data, 0, 6), "=day"))/B17))</f>
        <v>0</v>
      </c>
      <c r="D17" s="13" t="str">
        <f>IF(B17=0, 0, ((SUMIFS(INDEX(course_data, 0, 13), INDEX(course_data, 0, 3), "=201730", INDEX(course_data, 0, 6), "=day"))/B17))</f>
        <v>0</v>
      </c>
      <c r="E17" s="10" t="str">
        <f>SUMIFS(INDEX(course_data, 0, 10), INDEX(course_data, 0, 3), "=201730", INDEX(course_data, 0, 6), "=ex_day")</f>
        <v>0</v>
      </c>
      <c r="F17" s="13" t="str">
        <f>IF(E17=0, 0, ((SUMIFS(INDEX(course_data, 0, 11), INDEX(course_data, 0, 3), "=201730", INDEX(course_data, 0, 6), "=ex_day"))/E17))</f>
        <v>0</v>
      </c>
      <c r="G17" s="13" t="str">
        <f>IF(E17=0, 0, ((SUMIFS(INDEX(course_data, 0, 13), INDEX(course_data, 0, 3), "=201730", INDEX(course_data, 0, 6), "=ex_day"))/E17))</f>
        <v>0</v>
      </c>
      <c r="H17" s="10" t="str">
        <f>SUMIFS(INDEX(course_data, 0, 10), INDEX(course_data, 0, 3), "=201730", INDEX(course_data, 0, 6), "=online")</f>
        <v>0</v>
      </c>
      <c r="I17" s="13" t="str">
        <f>IF(H17=0, 0, ((SUMIFS(INDEX(course_data, 0, 11), INDEX(course_data, 0, 3), "=201730", INDEX(course_data, 0, 6), "=online"))/H17))</f>
        <v>0</v>
      </c>
      <c r="J17" s="13" t="str">
        <f>IF(H17=0, 0, ((SUMIFS(INDEX(course_data, 0, 13), INDEX(course_data, 0, 3), "=201730",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70</v>
      </c>
      <c r="C21" s="9" t="s">
        <v>71</v>
      </c>
      <c r="D21" s="9" t="s">
        <v>72</v>
      </c>
      <c r="E21" s="9" t="s">
        <v>70</v>
      </c>
      <c r="F21" s="9" t="s">
        <v>71</v>
      </c>
      <c r="G21" s="9" t="s">
        <v>72</v>
      </c>
      <c r="H21" s="9" t="s">
        <v>70</v>
      </c>
      <c r="I21" s="9" t="s">
        <v>71</v>
      </c>
      <c r="J21" s="9" t="s">
        <v>72</v>
      </c>
    </row>
    <row r="22" spans="1:10">
      <c r="A22" s="10" t="s">
        <v>57</v>
      </c>
      <c r="B22" s="11" t="str">
        <f>SUMIFS(INDEX(course_data, 0, 10), INDEX(course_data, 0, 1), "=2014-2015", INDEX(course_data, 0, 6), "=day")</f>
        <v>0</v>
      </c>
      <c r="C22" s="12" t="str">
        <f>IF(B22=0, 0, ((SUMIFS(INDEX(course_data, 0, 11), INDEX(course_data, 0, 1), "=2014-2015", INDEX(course_data, 0, 6), "=day"))/B22))</f>
        <v>0</v>
      </c>
      <c r="D22" s="12" t="str">
        <f>IF(B22=0, 0, ((SUMIFS(INDEX(course_data, 0, 13), INDEX(course_data, 0, 1), "=2014-2015", INDEX(course_data, 0, 6), "=day"))/B22))</f>
        <v>0</v>
      </c>
      <c r="E22" s="11" t="str">
        <f>SUMIFS(INDEX(course_data, 0, 10), INDEX(course_data, 0, 1), "=2014-2015", INDEX(course_data, 0, 6), "=ex_day")</f>
        <v>0</v>
      </c>
      <c r="F22" s="12" t="str">
        <f>IF(E22=0, 0, ((SUMIFS(INDEX(course_data, 0, 11), INDEX(course_data, 0, 1), "=2014-2015", INDEX(course_data, 0, 6), "=ex_day"))/E22))</f>
        <v>0</v>
      </c>
      <c r="G22" s="12" t="str">
        <f>IF(E22=0, 0, ((SUMIFS(INDEX(course_data, 0, 13), INDEX(course_data, 0, 1), "=2014-2015", INDEX(course_data, 0, 6), "=ex_day"))/E22))</f>
        <v>0</v>
      </c>
      <c r="H22" s="11" t="str">
        <f>SUMIFS(INDEX(course_data, 0, 10), INDEX(course_data, 0, 1), "=2014-2015", INDEX(course_data, 0, 6), "=online")</f>
        <v>0</v>
      </c>
      <c r="I22" s="12" t="str">
        <f>IF(H22=0, 0, ((SUMIFS(INDEX(course_data, 0, 11), INDEX(course_data, 0, 1), "=2014-2015", INDEX(course_data, 0, 6), "=online"))/H22))</f>
        <v>0</v>
      </c>
      <c r="J22" s="12" t="str">
        <f>IF(H22=0, 0, ((SUMIFS(INDEX(course_data, 0, 13), INDEX(course_data, 0, 1), "=2014-2015",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"=2015-2016", INDEX(course_data, 0, 6), "=day")</f>
        <v>0</v>
      </c>
      <c r="C23" s="13" t="str">
        <f>IF(B23=0, 0, ((SUMIFS(INDEX(course_data, 0, 11), INDEX(course_data, 0, 1), "=2015-2016", INDEX(course_data, 0, 6), "=day"))/B23))</f>
        <v>0</v>
      </c>
      <c r="D23" s="13" t="str">
        <f>IF(B23=0, 0, ((SUMIFS(INDEX(course_data, 0, 13), INDEX(course_data, 0, 1), "=2015-2016", INDEX(course_data, 0, 6), "=day"))/B23))</f>
        <v>0</v>
      </c>
      <c r="E23" s="10" t="str">
        <f>SUMIFS(INDEX(course_data, 0, 10), INDEX(course_data, 0, 1), "=2015-2016", INDEX(course_data, 0, 6), "=ex_day")</f>
        <v>0</v>
      </c>
      <c r="F23" s="13" t="str">
        <f>IF(E23=0, 0, ((SUMIFS(INDEX(course_data, 0, 11), INDEX(course_data, 0, 1), "=2015-2016", INDEX(course_data, 0, 6), "=ex_day"))/E23))</f>
        <v>0</v>
      </c>
      <c r="G23" s="13" t="str">
        <f>IF(E23=0, 0, ((SUMIFS(INDEX(course_data, 0, 13), INDEX(course_data, 0, 1), "=2015-2016", INDEX(course_data, 0, 6), "=ex_day"))/E23))</f>
        <v>0</v>
      </c>
      <c r="H23" s="10" t="str">
        <f>SUMIFS(INDEX(course_data, 0, 10), INDEX(course_data, 0, 1), "=2015-2016", INDEX(course_data, 0, 6), "=online")</f>
        <v>0</v>
      </c>
      <c r="I23" s="13" t="str">
        <f>IF(H23=0, 0, ((SUMIFS(INDEX(course_data, 0, 11), INDEX(course_data, 0, 1), "=2015-2016", INDEX(course_data, 0, 6), "=online"))/H23))</f>
        <v>0</v>
      </c>
      <c r="J23" s="13" t="str">
        <f>IF(H23=0, 0, ((SUMIFS(INDEX(course_data, 0, 13), INDEX(course_data, 0, 1), "=2015-2016", INDEX(course_data, 0, 6), "=online"))/H23))</f>
        <v>0</v>
      </c>
    </row>
    <row r="24" spans="1:10">
      <c r="A24" s="10" t="s">
        <v>59</v>
      </c>
      <c r="B24" s="11" t="str">
        <f>SUMIFS(INDEX(course_data, 0, 10), INDEX(course_data, 0, 1), "=2016-2017", INDEX(course_data, 0, 6), "=day")</f>
        <v>0</v>
      </c>
      <c r="C24" s="12" t="str">
        <f>IF(B24=0, 0, ((SUMIFS(INDEX(course_data, 0, 11), INDEX(course_data, 0, 1), "=2016-2017", INDEX(course_data, 0, 6), "=day"))/B24))</f>
        <v>0</v>
      </c>
      <c r="D24" s="12" t="str">
        <f>IF(B24=0, 0, ((SUMIFS(INDEX(course_data, 0, 13), INDEX(course_data, 0, 1), "=2016-2017", INDEX(course_data, 0, 6), "=day"))/B24))</f>
        <v>0</v>
      </c>
      <c r="E24" s="11" t="str">
        <f>SUMIFS(INDEX(course_data, 0, 10), INDEX(course_data, 0, 1), "=2016-2017", INDEX(course_data, 0, 6), "=ex_day")</f>
        <v>0</v>
      </c>
      <c r="F24" s="12" t="str">
        <f>IF(E24=0, 0, ((SUMIFS(INDEX(course_data, 0, 11), INDEX(course_data, 0, 1), "=2016-2017", INDEX(course_data, 0, 6), "=ex_day"))/E24))</f>
        <v>0</v>
      </c>
      <c r="G24" s="12" t="str">
        <f>IF(E24=0, 0, ((SUMIFS(INDEX(course_data, 0, 13), INDEX(course_data, 0, 1), "=2016-2017", INDEX(course_data, 0, 6), "=ex_day"))/E24))</f>
        <v>0</v>
      </c>
      <c r="H24" s="11" t="str">
        <f>SUMIFS(INDEX(course_data, 0, 10), INDEX(course_data, 0, 1), "=2016-2017", INDEX(course_data, 0, 6), "=online")</f>
        <v>0</v>
      </c>
      <c r="I24" s="12" t="str">
        <f>IF(H24=0, 0, ((SUMIFS(INDEX(course_data, 0, 11), INDEX(course_data, 0, 1), "=2016-2017", INDEX(course_data, 0, 6), "=online"))/H24))</f>
        <v>0</v>
      </c>
      <c r="J24" s="12" t="str">
        <f>IF(H24=0, 0, ((SUMIFS(INDEX(course_data, 0, 13), INDEX(course_data, 0, 1), "=2016-2017",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73</v>
      </c>
      <c r="B35" s="18"/>
      <c r="C35" t="s">
        <v>74</v>
      </c>
      <c r="D35"/>
      <c r="E35"/>
      <c r="F35"/>
      <c r="G35"/>
      <c r="H35"/>
      <c r="I35"/>
      <c r="J35"/>
    </row>
    <row r="36" spans="1:10">
      <c r="A36" s="17" t="s">
        <v>75</v>
      </c>
      <c r="B36" s="18"/>
      <c r="C36" t="s">
        <v>76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FIRE&amp;RPrinted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79</v>
      </c>
      <c r="C4" s="9"/>
      <c r="D4" s="9"/>
      <c r="E4" s="9" t="s">
        <v>80</v>
      </c>
      <c r="F4" s="9"/>
      <c r="G4" s="9"/>
      <c r="H4" s="9" t="s">
        <v>81</v>
      </c>
      <c r="I4" s="9"/>
      <c r="J4" s="9"/>
      <c r="K4" s="9" t="s">
        <v>82</v>
      </c>
      <c r="L4" s="9"/>
      <c r="M4" s="9"/>
      <c r="N4" s="9" t="s">
        <v>83</v>
      </c>
      <c r="O4" s="9"/>
      <c r="P4" s="9"/>
    </row>
    <row r="5" spans="1:16">
      <c r="A5" s="9" t="s">
        <v>13</v>
      </c>
      <c r="B5" s="9" t="s">
        <v>84</v>
      </c>
      <c r="C5" s="9" t="s">
        <v>85</v>
      </c>
      <c r="D5" s="9" t="s">
        <v>86</v>
      </c>
      <c r="E5" s="9" t="s">
        <v>84</v>
      </c>
      <c r="F5" s="9" t="s">
        <v>85</v>
      </c>
      <c r="G5" s="9" t="s">
        <v>86</v>
      </c>
      <c r="H5" s="9" t="s">
        <v>84</v>
      </c>
      <c r="I5" s="9" t="s">
        <v>85</v>
      </c>
      <c r="J5" s="9" t="s">
        <v>86</v>
      </c>
      <c r="K5" s="9" t="s">
        <v>84</v>
      </c>
      <c r="L5" s="9" t="s">
        <v>85</v>
      </c>
      <c r="M5" s="9" t="s">
        <v>86</v>
      </c>
      <c r="N5" s="9" t="s">
        <v>84</v>
      </c>
      <c r="O5" s="9" t="s">
        <v>85</v>
      </c>
      <c r="P5" s="9" t="s">
        <v>86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59</v>
      </c>
      <c r="F6" s="12">
        <v>0.6949153</v>
      </c>
      <c r="G6" s="12">
        <v>0.9152542</v>
      </c>
      <c r="H6" s="11">
        <v>5</v>
      </c>
      <c r="I6" s="12">
        <v>1</v>
      </c>
      <c r="J6" s="12">
        <v>1</v>
      </c>
      <c r="K6" s="11">
        <v>0</v>
      </c>
      <c r="L6" s="12">
        <v>0</v>
      </c>
      <c r="M6" s="12">
        <v>0</v>
      </c>
      <c r="N6" s="11">
        <v>43</v>
      </c>
      <c r="O6" s="12">
        <v>0.6511628</v>
      </c>
      <c r="P6" s="12">
        <v>0.9534884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6</v>
      </c>
      <c r="F7" s="13">
        <v>0.6666667</v>
      </c>
      <c r="G7" s="13">
        <v>1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6</v>
      </c>
      <c r="O7" s="13">
        <v>0.8333333</v>
      </c>
      <c r="P7" s="13">
        <v>0.8333333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68</v>
      </c>
      <c r="F8" s="12">
        <v>0.8235294</v>
      </c>
      <c r="G8" s="12">
        <v>0.8970588</v>
      </c>
      <c r="H8" s="11">
        <v>3</v>
      </c>
      <c r="I8" s="12">
        <v>1</v>
      </c>
      <c r="J8" s="12">
        <v>1</v>
      </c>
      <c r="K8" s="11">
        <v>0</v>
      </c>
      <c r="L8" s="12">
        <v>0</v>
      </c>
      <c r="M8" s="12">
        <v>0</v>
      </c>
      <c r="N8" s="11">
        <v>36</v>
      </c>
      <c r="O8" s="12">
        <v>0.7777778</v>
      </c>
      <c r="P8" s="12">
        <v>0.8888889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8</v>
      </c>
      <c r="F9" s="13">
        <v>1</v>
      </c>
      <c r="G9" s="13">
        <v>1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6</v>
      </c>
      <c r="O9" s="13">
        <v>0.8333333</v>
      </c>
      <c r="P9" s="13">
        <v>1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31</v>
      </c>
      <c r="F10" s="12">
        <v>0.8064516</v>
      </c>
      <c r="G10" s="12">
        <v>0.8709677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25</v>
      </c>
      <c r="O10" s="12">
        <v>0.8</v>
      </c>
      <c r="P10" s="12">
        <v>0.92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42</v>
      </c>
      <c r="F12" s="12">
        <v>0.6666667</v>
      </c>
      <c r="G12" s="12">
        <v>0.8809524</v>
      </c>
      <c r="H12" s="11">
        <v>1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21</v>
      </c>
      <c r="O12" s="12">
        <v>0.5714286</v>
      </c>
      <c r="P12" s="12">
        <v>0.8095238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9</v>
      </c>
      <c r="F13" s="13">
        <v>1</v>
      </c>
      <c r="G13" s="13">
        <v>1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6</v>
      </c>
      <c r="O13" s="13">
        <v>1</v>
      </c>
      <c r="P13" s="13">
        <v>1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29</v>
      </c>
      <c r="F14" s="12">
        <v>0.862069</v>
      </c>
      <c r="G14" s="12">
        <v>0.9310345</v>
      </c>
      <c r="H14" s="11">
        <v>2</v>
      </c>
      <c r="I14" s="12">
        <v>1</v>
      </c>
      <c r="J14" s="12">
        <v>1</v>
      </c>
      <c r="K14" s="11">
        <v>0</v>
      </c>
      <c r="L14" s="12">
        <v>0</v>
      </c>
      <c r="M14" s="12">
        <v>0</v>
      </c>
      <c r="N14" s="11">
        <v>91</v>
      </c>
      <c r="O14" s="12">
        <v>0.7802198</v>
      </c>
      <c r="P14" s="12">
        <v>0.9010989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12</v>
      </c>
      <c r="F16" s="12">
        <v>0.8333333</v>
      </c>
      <c r="G16" s="12">
        <v>1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41</v>
      </c>
      <c r="O16" s="12">
        <v>0.6829268</v>
      </c>
      <c r="P16" s="12">
        <v>0.9268293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3</v>
      </c>
      <c r="F17" s="13">
        <v>1</v>
      </c>
      <c r="G17" s="13">
        <v>1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10</v>
      </c>
      <c r="O17" s="13">
        <v>1</v>
      </c>
      <c r="P17" s="13">
        <v>1</v>
      </c>
    </row>
    <row r="18" spans="1:16">
      <c r="A18" s="14" t="s">
        <v>87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79</v>
      </c>
      <c r="C20" s="9"/>
      <c r="D20" s="9"/>
      <c r="E20" s="9" t="s">
        <v>80</v>
      </c>
      <c r="F20" s="9"/>
      <c r="G20" s="9"/>
      <c r="H20" s="9" t="s">
        <v>81</v>
      </c>
      <c r="I20" s="9"/>
      <c r="J20" s="9"/>
      <c r="K20" s="9" t="s">
        <v>82</v>
      </c>
      <c r="L20" s="9"/>
      <c r="M20" s="9"/>
      <c r="N20" s="9" t="s">
        <v>83</v>
      </c>
      <c r="O20" s="9"/>
      <c r="P20" s="9"/>
    </row>
    <row r="21" spans="1:16">
      <c r="A21" s="9" t="s">
        <v>31</v>
      </c>
      <c r="B21" s="9" t="s">
        <v>84</v>
      </c>
      <c r="C21" s="9" t="s">
        <v>85</v>
      </c>
      <c r="D21" s="9" t="s">
        <v>86</v>
      </c>
      <c r="E21" s="9" t="s">
        <v>84</v>
      </c>
      <c r="F21" s="9" t="s">
        <v>85</v>
      </c>
      <c r="G21" s="9" t="s">
        <v>86</v>
      </c>
      <c r="H21" s="9" t="s">
        <v>84</v>
      </c>
      <c r="I21" s="9" t="s">
        <v>85</v>
      </c>
      <c r="J21" s="9" t="s">
        <v>86</v>
      </c>
      <c r="K21" s="9" t="s">
        <v>84</v>
      </c>
      <c r="L21" s="9" t="s">
        <v>85</v>
      </c>
      <c r="M21" s="9" t="s">
        <v>86</v>
      </c>
      <c r="N21" s="9" t="s">
        <v>84</v>
      </c>
      <c r="O21" s="9" t="s">
        <v>85</v>
      </c>
      <c r="P21" s="9" t="s">
        <v>86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141</v>
      </c>
      <c r="F22" s="12">
        <v>0.7730496</v>
      </c>
      <c r="G22" s="12">
        <v>0.9148936</v>
      </c>
      <c r="H22" s="11">
        <v>8</v>
      </c>
      <c r="I22" s="12">
        <v>1</v>
      </c>
      <c r="J22" s="12">
        <v>1</v>
      </c>
      <c r="K22" s="11">
        <v>0</v>
      </c>
      <c r="L22" s="12">
        <v>0</v>
      </c>
      <c r="M22" s="12">
        <v>0</v>
      </c>
      <c r="N22" s="11">
        <v>91</v>
      </c>
      <c r="O22" s="12">
        <v>0.7252747</v>
      </c>
      <c r="P22" s="12">
        <v>0.9230769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82</v>
      </c>
      <c r="F23" s="13">
        <v>0.7560976</v>
      </c>
      <c r="G23" s="13">
        <v>0.8902439</v>
      </c>
      <c r="H23" s="10">
        <v>1</v>
      </c>
      <c r="I23" s="13">
        <v>0</v>
      </c>
      <c r="J23" s="13">
        <v>0</v>
      </c>
      <c r="K23" s="10">
        <v>0</v>
      </c>
      <c r="L23" s="13">
        <v>0</v>
      </c>
      <c r="M23" s="13">
        <v>0</v>
      </c>
      <c r="N23" s="10">
        <v>52</v>
      </c>
      <c r="O23" s="13">
        <v>0.7307692</v>
      </c>
      <c r="P23" s="13">
        <v>0.8846154</v>
      </c>
    </row>
    <row r="24" spans="1:16">
      <c r="A24" s="10" t="s">
        <v>59</v>
      </c>
      <c r="B24" s="11">
        <v>0</v>
      </c>
      <c r="C24" s="12">
        <v>0</v>
      </c>
      <c r="D24" s="12">
        <v>0</v>
      </c>
      <c r="E24" s="11">
        <v>44</v>
      </c>
      <c r="F24" s="12">
        <v>0.8636364</v>
      </c>
      <c r="G24" s="12">
        <v>0.9545455</v>
      </c>
      <c r="H24" s="11">
        <v>2</v>
      </c>
      <c r="I24" s="12">
        <v>1</v>
      </c>
      <c r="J24" s="12">
        <v>1</v>
      </c>
      <c r="K24" s="11">
        <v>0</v>
      </c>
      <c r="L24" s="12">
        <v>0</v>
      </c>
      <c r="M24" s="12">
        <v>0</v>
      </c>
      <c r="N24" s="11">
        <v>142</v>
      </c>
      <c r="O24" s="12">
        <v>0.7676056</v>
      </c>
      <c r="P24" s="12">
        <v>0.915493</v>
      </c>
    </row>
    <row r="25" spans="1:16">
      <c r="A25" s="14" t="s">
        <v>87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73</v>
      </c>
      <c r="B32" s="18"/>
      <c r="C32" t="s">
        <v>88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75</v>
      </c>
      <c r="B33" s="18"/>
      <c r="C33" t="s">
        <v>76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FIRE&amp;RPrinted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90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91</v>
      </c>
      <c r="C4" s="9"/>
      <c r="D4" s="9"/>
      <c r="E4" s="9" t="s">
        <v>92</v>
      </c>
      <c r="F4" s="9"/>
      <c r="G4" s="9"/>
      <c r="H4" s="9" t="s">
        <v>93</v>
      </c>
      <c r="I4" s="9"/>
      <c r="J4" s="9"/>
      <c r="K4" s="9" t="s">
        <v>94</v>
      </c>
      <c r="L4" s="9"/>
      <c r="M4" s="9"/>
      <c r="N4" s="9" t="s">
        <v>95</v>
      </c>
      <c r="O4" s="9"/>
      <c r="P4" s="9"/>
      <c r="Q4" s="9" t="s">
        <v>96</v>
      </c>
      <c r="R4" s="9"/>
      <c r="S4" s="9"/>
      <c r="T4" s="9" t="s">
        <v>97</v>
      </c>
      <c r="U4" s="9"/>
      <c r="V4" s="9"/>
    </row>
    <row r="5" spans="1:22">
      <c r="A5" s="9" t="s">
        <v>13</v>
      </c>
      <c r="B5" s="9" t="s">
        <v>84</v>
      </c>
      <c r="C5" s="9" t="s">
        <v>85</v>
      </c>
      <c r="D5" s="9" t="s">
        <v>86</v>
      </c>
      <c r="E5" s="9" t="s">
        <v>84</v>
      </c>
      <c r="F5" s="9" t="s">
        <v>85</v>
      </c>
      <c r="G5" s="9" t="s">
        <v>86</v>
      </c>
      <c r="H5" s="9" t="s">
        <v>84</v>
      </c>
      <c r="I5" s="9" t="s">
        <v>85</v>
      </c>
      <c r="J5" s="9" t="s">
        <v>86</v>
      </c>
      <c r="K5" s="9" t="s">
        <v>84</v>
      </c>
      <c r="L5" s="9" t="s">
        <v>85</v>
      </c>
      <c r="M5" s="9" t="s">
        <v>86</v>
      </c>
      <c r="N5" s="9" t="s">
        <v>84</v>
      </c>
      <c r="O5" s="9" t="s">
        <v>85</v>
      </c>
      <c r="P5" s="9" t="s">
        <v>86</v>
      </c>
      <c r="Q5" s="9" t="s">
        <v>84</v>
      </c>
      <c r="R5" s="9" t="s">
        <v>85</v>
      </c>
      <c r="S5" s="9" t="s">
        <v>86</v>
      </c>
      <c r="T5" s="9" t="s">
        <v>84</v>
      </c>
      <c r="U5" s="9" t="s">
        <v>85</v>
      </c>
      <c r="V5" s="9" t="s">
        <v>86</v>
      </c>
    </row>
    <row r="6" spans="1:22">
      <c r="A6" s="10" t="s">
        <v>18</v>
      </c>
      <c r="B6" s="11">
        <v>32</v>
      </c>
      <c r="C6" s="12">
        <v>0.46875</v>
      </c>
      <c r="D6" s="12">
        <v>0.9375</v>
      </c>
      <c r="E6" s="11">
        <v>45</v>
      </c>
      <c r="F6" s="12">
        <v>0.7777778</v>
      </c>
      <c r="G6" s="12">
        <v>0.9555556</v>
      </c>
      <c r="H6" s="11">
        <v>16</v>
      </c>
      <c r="I6" s="12">
        <v>0.8125</v>
      </c>
      <c r="J6" s="12">
        <v>0.875</v>
      </c>
      <c r="K6" s="11">
        <v>10</v>
      </c>
      <c r="L6" s="12">
        <v>1</v>
      </c>
      <c r="M6" s="12">
        <v>1</v>
      </c>
      <c r="N6" s="11">
        <v>1</v>
      </c>
      <c r="O6" s="12">
        <v>0</v>
      </c>
      <c r="P6" s="12">
        <v>0</v>
      </c>
      <c r="Q6" s="11">
        <v>3</v>
      </c>
      <c r="R6" s="12">
        <v>0.3333333</v>
      </c>
      <c r="S6" s="12">
        <v>1</v>
      </c>
      <c r="T6" s="11">
        <v>0</v>
      </c>
      <c r="U6" s="12">
        <v>0</v>
      </c>
      <c r="V6" s="12">
        <v>0</v>
      </c>
    </row>
    <row r="7" spans="1:22">
      <c r="A7" s="10" t="s">
        <v>19</v>
      </c>
      <c r="B7" s="10">
        <v>1</v>
      </c>
      <c r="C7" s="13">
        <v>0</v>
      </c>
      <c r="D7" s="13">
        <v>0</v>
      </c>
      <c r="E7" s="10">
        <v>6</v>
      </c>
      <c r="F7" s="13">
        <v>0.6666667</v>
      </c>
      <c r="G7" s="13">
        <v>1</v>
      </c>
      <c r="H7" s="10">
        <v>5</v>
      </c>
      <c r="I7" s="13">
        <v>1</v>
      </c>
      <c r="J7" s="13">
        <v>1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25</v>
      </c>
      <c r="C8" s="12">
        <v>0.88</v>
      </c>
      <c r="D8" s="12">
        <v>0.92</v>
      </c>
      <c r="E8" s="11">
        <v>45</v>
      </c>
      <c r="F8" s="12">
        <v>0.7777778</v>
      </c>
      <c r="G8" s="12">
        <v>0.8444444</v>
      </c>
      <c r="H8" s="11">
        <v>25</v>
      </c>
      <c r="I8" s="12">
        <v>0.76</v>
      </c>
      <c r="J8" s="12">
        <v>0.92</v>
      </c>
      <c r="K8" s="11">
        <v>11</v>
      </c>
      <c r="L8" s="12">
        <v>0.9090909</v>
      </c>
      <c r="M8" s="12">
        <v>1</v>
      </c>
      <c r="N8" s="11">
        <v>1</v>
      </c>
      <c r="O8" s="12">
        <v>1</v>
      </c>
      <c r="P8" s="12">
        <v>1</v>
      </c>
      <c r="Q8" s="11">
        <v>0</v>
      </c>
      <c r="R8" s="12">
        <v>0</v>
      </c>
      <c r="S8" s="12">
        <v>0</v>
      </c>
      <c r="T8" s="11">
        <v>0</v>
      </c>
      <c r="U8" s="12">
        <v>0</v>
      </c>
      <c r="V8" s="12">
        <v>0</v>
      </c>
    </row>
    <row r="9" spans="1:22">
      <c r="A9" s="10" t="s">
        <v>21</v>
      </c>
      <c r="B9" s="10">
        <v>3</v>
      </c>
      <c r="C9" s="13">
        <v>1</v>
      </c>
      <c r="D9" s="13">
        <v>1</v>
      </c>
      <c r="E9" s="10">
        <v>4</v>
      </c>
      <c r="F9" s="13">
        <v>1</v>
      </c>
      <c r="G9" s="13">
        <v>1</v>
      </c>
      <c r="H9" s="10">
        <v>3</v>
      </c>
      <c r="I9" s="13">
        <v>1</v>
      </c>
      <c r="J9" s="13">
        <v>1</v>
      </c>
      <c r="K9" s="10">
        <v>1</v>
      </c>
      <c r="L9" s="13">
        <v>1</v>
      </c>
      <c r="M9" s="13">
        <v>1</v>
      </c>
      <c r="N9" s="10">
        <v>2</v>
      </c>
      <c r="O9" s="13">
        <v>1</v>
      </c>
      <c r="P9" s="13">
        <v>1</v>
      </c>
      <c r="Q9" s="10">
        <v>1</v>
      </c>
      <c r="R9" s="13">
        <v>0</v>
      </c>
      <c r="S9" s="13">
        <v>1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12</v>
      </c>
      <c r="C10" s="12">
        <v>0.75</v>
      </c>
      <c r="D10" s="12">
        <v>0.8333333</v>
      </c>
      <c r="E10" s="11">
        <v>29</v>
      </c>
      <c r="F10" s="12">
        <v>0.8965517</v>
      </c>
      <c r="G10" s="12">
        <v>0.9655172</v>
      </c>
      <c r="H10" s="11">
        <v>9</v>
      </c>
      <c r="I10" s="12">
        <v>0.6666667</v>
      </c>
      <c r="J10" s="12">
        <v>0.7777778</v>
      </c>
      <c r="K10" s="11">
        <v>2</v>
      </c>
      <c r="L10" s="12">
        <v>0.5</v>
      </c>
      <c r="M10" s="12">
        <v>0.5</v>
      </c>
      <c r="N10" s="11">
        <v>3</v>
      </c>
      <c r="O10" s="12">
        <v>0.6666667</v>
      </c>
      <c r="P10" s="12">
        <v>1</v>
      </c>
      <c r="Q10" s="11">
        <v>0</v>
      </c>
      <c r="R10" s="12">
        <v>0</v>
      </c>
      <c r="S10" s="12">
        <v>0</v>
      </c>
      <c r="T10" s="11">
        <v>1</v>
      </c>
      <c r="U10" s="12">
        <v>1</v>
      </c>
      <c r="V10" s="12">
        <v>1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13</v>
      </c>
      <c r="C12" s="12">
        <v>0.6153846</v>
      </c>
      <c r="D12" s="12">
        <v>0.7692308</v>
      </c>
      <c r="E12" s="11">
        <v>35</v>
      </c>
      <c r="F12" s="12">
        <v>0.7142857</v>
      </c>
      <c r="G12" s="12">
        <v>0.8857143</v>
      </c>
      <c r="H12" s="11">
        <v>11</v>
      </c>
      <c r="I12" s="12">
        <v>0.5454545</v>
      </c>
      <c r="J12" s="12">
        <v>0.8181818</v>
      </c>
      <c r="K12" s="11">
        <v>1</v>
      </c>
      <c r="L12" s="12">
        <v>0</v>
      </c>
      <c r="M12" s="12">
        <v>0</v>
      </c>
      <c r="N12" s="11">
        <v>1</v>
      </c>
      <c r="O12" s="12">
        <v>0</v>
      </c>
      <c r="P12" s="12">
        <v>1</v>
      </c>
      <c r="Q12" s="11">
        <v>0</v>
      </c>
      <c r="R12" s="12">
        <v>0</v>
      </c>
      <c r="S12" s="12">
        <v>0</v>
      </c>
      <c r="T12" s="11">
        <v>3</v>
      </c>
      <c r="U12" s="12">
        <v>0.3333333</v>
      </c>
      <c r="V12" s="12">
        <v>1</v>
      </c>
    </row>
    <row r="13" spans="1:22">
      <c r="A13" s="10" t="s">
        <v>25</v>
      </c>
      <c r="B13" s="10">
        <v>2</v>
      </c>
      <c r="C13" s="13">
        <v>1</v>
      </c>
      <c r="D13" s="13">
        <v>1</v>
      </c>
      <c r="E13" s="10">
        <v>10</v>
      </c>
      <c r="F13" s="13">
        <v>1</v>
      </c>
      <c r="G13" s="13">
        <v>1</v>
      </c>
      <c r="H13" s="10">
        <v>3</v>
      </c>
      <c r="I13" s="13">
        <v>1</v>
      </c>
      <c r="J13" s="13">
        <v>1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17</v>
      </c>
      <c r="C14" s="12">
        <v>0.6470588</v>
      </c>
      <c r="D14" s="12">
        <v>0.8235294</v>
      </c>
      <c r="E14" s="11">
        <v>65</v>
      </c>
      <c r="F14" s="12">
        <v>0.8</v>
      </c>
      <c r="G14" s="12">
        <v>0.8923077</v>
      </c>
      <c r="H14" s="11">
        <v>31</v>
      </c>
      <c r="I14" s="12">
        <v>0.9032258</v>
      </c>
      <c r="J14" s="12">
        <v>0.9677419</v>
      </c>
      <c r="K14" s="11">
        <v>7</v>
      </c>
      <c r="L14" s="12">
        <v>0.7142857</v>
      </c>
      <c r="M14" s="12">
        <v>1</v>
      </c>
      <c r="N14" s="11">
        <v>1</v>
      </c>
      <c r="O14" s="12">
        <v>1</v>
      </c>
      <c r="P14" s="12">
        <v>1</v>
      </c>
      <c r="Q14" s="11">
        <v>0</v>
      </c>
      <c r="R14" s="12">
        <v>0</v>
      </c>
      <c r="S14" s="12">
        <v>0</v>
      </c>
      <c r="T14" s="11">
        <v>1</v>
      </c>
      <c r="U14" s="12">
        <v>1</v>
      </c>
      <c r="V14" s="12">
        <v>1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10</v>
      </c>
      <c r="C16" s="12">
        <v>0.9</v>
      </c>
      <c r="D16" s="12">
        <v>1</v>
      </c>
      <c r="E16" s="11">
        <v>25</v>
      </c>
      <c r="F16" s="12">
        <v>0.72</v>
      </c>
      <c r="G16" s="12">
        <v>0.92</v>
      </c>
      <c r="H16" s="11">
        <v>11</v>
      </c>
      <c r="I16" s="12">
        <v>0.7272727</v>
      </c>
      <c r="J16" s="12">
        <v>0.9090909</v>
      </c>
      <c r="K16" s="11">
        <v>2</v>
      </c>
      <c r="L16" s="12">
        <v>0.5</v>
      </c>
      <c r="M16" s="12">
        <v>1</v>
      </c>
      <c r="N16" s="11">
        <v>0</v>
      </c>
      <c r="O16" s="12">
        <v>0</v>
      </c>
      <c r="P16" s="12">
        <v>0</v>
      </c>
      <c r="Q16" s="11">
        <v>2</v>
      </c>
      <c r="R16" s="12">
        <v>0.5</v>
      </c>
      <c r="S16" s="12">
        <v>1</v>
      </c>
      <c r="T16" s="11">
        <v>3</v>
      </c>
      <c r="U16" s="12">
        <v>0.3333333</v>
      </c>
      <c r="V16" s="12">
        <v>1</v>
      </c>
    </row>
    <row r="17" spans="1:22">
      <c r="A17" s="10" t="s">
        <v>29</v>
      </c>
      <c r="B17" s="10">
        <v>4</v>
      </c>
      <c r="C17" s="13">
        <v>1</v>
      </c>
      <c r="D17" s="13">
        <v>1</v>
      </c>
      <c r="E17" s="10">
        <v>7</v>
      </c>
      <c r="F17" s="13">
        <v>1</v>
      </c>
      <c r="G17" s="13">
        <v>1</v>
      </c>
      <c r="H17" s="10">
        <v>2</v>
      </c>
      <c r="I17" s="13">
        <v>1</v>
      </c>
      <c r="J17" s="13">
        <v>1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87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91</v>
      </c>
      <c r="C20" s="9"/>
      <c r="D20" s="9"/>
      <c r="E20" s="9" t="s">
        <v>92</v>
      </c>
      <c r="F20" s="9"/>
      <c r="G20" s="9"/>
      <c r="H20" s="9" t="s">
        <v>93</v>
      </c>
      <c r="I20" s="9"/>
      <c r="J20" s="9"/>
      <c r="K20" s="9" t="s">
        <v>94</v>
      </c>
      <c r="L20" s="9"/>
      <c r="M20" s="9"/>
      <c r="N20" s="9" t="s">
        <v>95</v>
      </c>
      <c r="O20" s="9"/>
      <c r="P20" s="9"/>
      <c r="Q20" s="9" t="s">
        <v>96</v>
      </c>
      <c r="R20" s="9"/>
      <c r="S20" s="9"/>
      <c r="T20" s="9" t="s">
        <v>97</v>
      </c>
      <c r="U20" s="9"/>
      <c r="V20" s="9"/>
    </row>
    <row r="21" spans="1:22">
      <c r="A21" s="9" t="s">
        <v>31</v>
      </c>
      <c r="B21" s="9" t="s">
        <v>84</v>
      </c>
      <c r="C21" s="9" t="s">
        <v>85</v>
      </c>
      <c r="D21" s="9" t="s">
        <v>86</v>
      </c>
      <c r="E21" s="9" t="s">
        <v>84</v>
      </c>
      <c r="F21" s="9" t="s">
        <v>85</v>
      </c>
      <c r="G21" s="9" t="s">
        <v>86</v>
      </c>
      <c r="H21" s="9" t="s">
        <v>84</v>
      </c>
      <c r="I21" s="9" t="s">
        <v>85</v>
      </c>
      <c r="J21" s="9" t="s">
        <v>86</v>
      </c>
      <c r="K21" s="9" t="s">
        <v>84</v>
      </c>
      <c r="L21" s="9" t="s">
        <v>85</v>
      </c>
      <c r="M21" s="9" t="s">
        <v>86</v>
      </c>
      <c r="N21" s="9" t="s">
        <v>84</v>
      </c>
      <c r="O21" s="9" t="s">
        <v>85</v>
      </c>
      <c r="P21" s="9" t="s">
        <v>86</v>
      </c>
      <c r="Q21" s="9" t="s">
        <v>84</v>
      </c>
      <c r="R21" s="9" t="s">
        <v>85</v>
      </c>
      <c r="S21" s="9" t="s">
        <v>86</v>
      </c>
      <c r="T21" s="9" t="s">
        <v>84</v>
      </c>
      <c r="U21" s="9" t="s">
        <v>85</v>
      </c>
      <c r="V21" s="9" t="s">
        <v>86</v>
      </c>
    </row>
    <row r="22" spans="1:22">
      <c r="A22" s="10" t="s">
        <v>57</v>
      </c>
      <c r="B22" s="11">
        <v>61</v>
      </c>
      <c r="C22" s="12">
        <v>0.6557377</v>
      </c>
      <c r="D22" s="12">
        <v>0.9180328</v>
      </c>
      <c r="E22" s="11">
        <v>100</v>
      </c>
      <c r="F22" s="12">
        <v>0.78</v>
      </c>
      <c r="G22" s="12">
        <v>0.91</v>
      </c>
      <c r="H22" s="11">
        <v>49</v>
      </c>
      <c r="I22" s="12">
        <v>0.8163265</v>
      </c>
      <c r="J22" s="12">
        <v>0.9183673</v>
      </c>
      <c r="K22" s="11">
        <v>22</v>
      </c>
      <c r="L22" s="12">
        <v>0.9545455</v>
      </c>
      <c r="M22" s="12">
        <v>1</v>
      </c>
      <c r="N22" s="11">
        <v>4</v>
      </c>
      <c r="O22" s="12">
        <v>0.75</v>
      </c>
      <c r="P22" s="12">
        <v>0.75</v>
      </c>
      <c r="Q22" s="11">
        <v>4</v>
      </c>
      <c r="R22" s="12">
        <v>0.25</v>
      </c>
      <c r="S22" s="12">
        <v>1</v>
      </c>
      <c r="T22" s="11">
        <v>0</v>
      </c>
      <c r="U22" s="12">
        <v>0</v>
      </c>
      <c r="V22" s="12">
        <v>0</v>
      </c>
    </row>
    <row r="23" spans="1:22">
      <c r="A23" s="10" t="s">
        <v>58</v>
      </c>
      <c r="B23" s="10">
        <v>27</v>
      </c>
      <c r="C23" s="13">
        <v>0.7037037</v>
      </c>
      <c r="D23" s="13">
        <v>0.8148148</v>
      </c>
      <c r="E23" s="10">
        <v>74</v>
      </c>
      <c r="F23" s="13">
        <v>0.8243243</v>
      </c>
      <c r="G23" s="13">
        <v>0.9324324</v>
      </c>
      <c r="H23" s="10">
        <v>23</v>
      </c>
      <c r="I23" s="13">
        <v>0.6521739</v>
      </c>
      <c r="J23" s="13">
        <v>0.826087</v>
      </c>
      <c r="K23" s="10">
        <v>3</v>
      </c>
      <c r="L23" s="13">
        <v>0.3333333</v>
      </c>
      <c r="M23" s="13">
        <v>0.3333333</v>
      </c>
      <c r="N23" s="10">
        <v>4</v>
      </c>
      <c r="O23" s="13">
        <v>0.5</v>
      </c>
      <c r="P23" s="13">
        <v>1</v>
      </c>
      <c r="Q23" s="10">
        <v>0</v>
      </c>
      <c r="R23" s="13">
        <v>0</v>
      </c>
      <c r="S23" s="13">
        <v>0</v>
      </c>
      <c r="T23" s="10">
        <v>4</v>
      </c>
      <c r="U23" s="13">
        <v>0.5</v>
      </c>
      <c r="V23" s="13">
        <v>1</v>
      </c>
    </row>
    <row r="24" spans="1:22">
      <c r="A24" s="10" t="s">
        <v>59</v>
      </c>
      <c r="B24" s="11">
        <v>31</v>
      </c>
      <c r="C24" s="12">
        <v>0.7741935</v>
      </c>
      <c r="D24" s="12">
        <v>0.9032258</v>
      </c>
      <c r="E24" s="11">
        <v>97</v>
      </c>
      <c r="F24" s="12">
        <v>0.7938144</v>
      </c>
      <c r="G24" s="12">
        <v>0.9072165</v>
      </c>
      <c r="H24" s="11">
        <v>44</v>
      </c>
      <c r="I24" s="12">
        <v>0.8636364</v>
      </c>
      <c r="J24" s="12">
        <v>0.9545455</v>
      </c>
      <c r="K24" s="11">
        <v>9</v>
      </c>
      <c r="L24" s="12">
        <v>0.6666667</v>
      </c>
      <c r="M24" s="12">
        <v>1</v>
      </c>
      <c r="N24" s="11">
        <v>1</v>
      </c>
      <c r="O24" s="12">
        <v>1</v>
      </c>
      <c r="P24" s="12">
        <v>1</v>
      </c>
      <c r="Q24" s="11">
        <v>2</v>
      </c>
      <c r="R24" s="12">
        <v>0.5</v>
      </c>
      <c r="S24" s="12">
        <v>1</v>
      </c>
      <c r="T24" s="11">
        <v>4</v>
      </c>
      <c r="U24" s="12">
        <v>0.5</v>
      </c>
      <c r="V24" s="12">
        <v>1</v>
      </c>
    </row>
    <row r="25" spans="1:22">
      <c r="A25" s="14" t="s">
        <v>87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73</v>
      </c>
      <c r="B32" s="18"/>
      <c r="C32" t="s">
        <v>88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75</v>
      </c>
      <c r="B33" s="18"/>
      <c r="C33" t="s">
        <v>76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FIRE&amp;RPrinted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100</v>
      </c>
      <c r="C4" s="9"/>
      <c r="D4" s="9"/>
      <c r="E4" s="9" t="s">
        <v>101</v>
      </c>
      <c r="F4" s="9"/>
      <c r="G4" s="9"/>
      <c r="H4" s="9" t="s">
        <v>102</v>
      </c>
      <c r="I4" s="9"/>
      <c r="J4" s="9"/>
    </row>
    <row r="5" spans="1:10">
      <c r="A5" s="9" t="s">
        <v>13</v>
      </c>
      <c r="B5" s="9" t="s">
        <v>84</v>
      </c>
      <c r="C5" s="9" t="s">
        <v>85</v>
      </c>
      <c r="D5" s="9" t="s">
        <v>86</v>
      </c>
      <c r="E5" s="9" t="s">
        <v>84</v>
      </c>
      <c r="F5" s="9" t="s">
        <v>85</v>
      </c>
      <c r="G5" s="9" t="s">
        <v>86</v>
      </c>
      <c r="H5" s="9" t="s">
        <v>84</v>
      </c>
      <c r="I5" s="9" t="s">
        <v>85</v>
      </c>
      <c r="J5" s="9" t="s">
        <v>86</v>
      </c>
    </row>
    <row r="6" spans="1:10">
      <c r="A6" s="10" t="s">
        <v>18</v>
      </c>
      <c r="B6" s="11">
        <v>9</v>
      </c>
      <c r="C6" s="12">
        <v>0.4444444</v>
      </c>
      <c r="D6" s="12">
        <v>0.8888889</v>
      </c>
      <c r="E6" s="11">
        <v>98</v>
      </c>
      <c r="F6" s="12">
        <v>0.7142857</v>
      </c>
      <c r="G6" s="12">
        <v>0.9387755</v>
      </c>
      <c r="H6" s="11">
        <v>0</v>
      </c>
      <c r="I6" s="12">
        <v>0</v>
      </c>
      <c r="J6" s="12">
        <v>0</v>
      </c>
    </row>
    <row r="7" spans="1:10">
      <c r="A7" s="10" t="s">
        <v>19</v>
      </c>
      <c r="B7" s="10">
        <v>1</v>
      </c>
      <c r="C7" s="13">
        <v>1</v>
      </c>
      <c r="D7" s="13">
        <v>1</v>
      </c>
      <c r="E7" s="10">
        <v>11</v>
      </c>
      <c r="F7" s="13">
        <v>0.7272727</v>
      </c>
      <c r="G7" s="13">
        <v>0.9090909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11</v>
      </c>
      <c r="C8" s="12">
        <v>1</v>
      </c>
      <c r="D8" s="12">
        <v>1</v>
      </c>
      <c r="E8" s="11">
        <v>96</v>
      </c>
      <c r="F8" s="12">
        <v>0.7916667</v>
      </c>
      <c r="G8" s="12">
        <v>0.8854167</v>
      </c>
      <c r="H8" s="11">
        <v>0</v>
      </c>
      <c r="I8" s="12">
        <v>0</v>
      </c>
      <c r="J8" s="12">
        <v>0</v>
      </c>
    </row>
    <row r="9" spans="1:10">
      <c r="A9" s="10" t="s">
        <v>21</v>
      </c>
      <c r="B9" s="10">
        <v>2</v>
      </c>
      <c r="C9" s="13">
        <v>1</v>
      </c>
      <c r="D9" s="13">
        <v>1</v>
      </c>
      <c r="E9" s="10">
        <v>12</v>
      </c>
      <c r="F9" s="13">
        <v>0.9166667</v>
      </c>
      <c r="G9" s="13">
        <v>1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10</v>
      </c>
      <c r="C10" s="12">
        <v>0.9</v>
      </c>
      <c r="D10" s="12">
        <v>0.9</v>
      </c>
      <c r="E10" s="11">
        <v>46</v>
      </c>
      <c r="F10" s="12">
        <v>0.7826087</v>
      </c>
      <c r="G10" s="12">
        <v>0.8913043</v>
      </c>
      <c r="H10" s="11">
        <v>0</v>
      </c>
      <c r="I10" s="12">
        <v>0</v>
      </c>
      <c r="J10" s="12">
        <v>0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16</v>
      </c>
      <c r="C12" s="12">
        <v>0.5</v>
      </c>
      <c r="D12" s="12">
        <v>0.9375</v>
      </c>
      <c r="E12" s="11">
        <v>48</v>
      </c>
      <c r="F12" s="12">
        <v>0.6666667</v>
      </c>
      <c r="G12" s="12">
        <v>0.8125</v>
      </c>
      <c r="H12" s="11">
        <v>0</v>
      </c>
      <c r="I12" s="12">
        <v>0</v>
      </c>
      <c r="J12" s="12">
        <v>0</v>
      </c>
    </row>
    <row r="13" spans="1:10">
      <c r="A13" s="10" t="s">
        <v>25</v>
      </c>
      <c r="B13" s="10">
        <v>2</v>
      </c>
      <c r="C13" s="13">
        <v>1</v>
      </c>
      <c r="D13" s="13">
        <v>1</v>
      </c>
      <c r="E13" s="10">
        <v>13</v>
      </c>
      <c r="F13" s="13">
        <v>1</v>
      </c>
      <c r="G13" s="13">
        <v>1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13</v>
      </c>
      <c r="C14" s="12">
        <v>1</v>
      </c>
      <c r="D14" s="12">
        <v>1</v>
      </c>
      <c r="E14" s="11">
        <v>109</v>
      </c>
      <c r="F14" s="12">
        <v>0.7798165</v>
      </c>
      <c r="G14" s="12">
        <v>0.8990826</v>
      </c>
      <c r="H14" s="11">
        <v>0</v>
      </c>
      <c r="I14" s="12">
        <v>0</v>
      </c>
      <c r="J14" s="12">
        <v>0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7</v>
      </c>
      <c r="C16" s="12">
        <v>0.4285714</v>
      </c>
      <c r="D16" s="12">
        <v>1</v>
      </c>
      <c r="E16" s="11">
        <v>46</v>
      </c>
      <c r="F16" s="12">
        <v>0.7608696</v>
      </c>
      <c r="G16" s="12">
        <v>0.9347826</v>
      </c>
      <c r="H16" s="11">
        <v>0</v>
      </c>
      <c r="I16" s="12">
        <v>0</v>
      </c>
      <c r="J16" s="12">
        <v>0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13</v>
      </c>
      <c r="F17" s="13">
        <v>1</v>
      </c>
      <c r="G17" s="13">
        <v>1</v>
      </c>
      <c r="H17" s="10">
        <v>0</v>
      </c>
      <c r="I17" s="13">
        <v>0</v>
      </c>
      <c r="J17" s="13">
        <v>0</v>
      </c>
    </row>
    <row r="18" spans="1:10">
      <c r="A18" s="14" t="s">
        <v>87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100</v>
      </c>
      <c r="C20" s="9"/>
      <c r="D20" s="9"/>
      <c r="E20" s="9" t="s">
        <v>101</v>
      </c>
      <c r="F20" s="9"/>
      <c r="G20" s="9"/>
      <c r="H20" s="9" t="s">
        <v>102</v>
      </c>
      <c r="I20" s="9"/>
      <c r="J20" s="9"/>
    </row>
    <row r="21" spans="1:10">
      <c r="A21" s="9" t="s">
        <v>31</v>
      </c>
      <c r="B21" s="9" t="s">
        <v>84</v>
      </c>
      <c r="C21" s="9" t="s">
        <v>85</v>
      </c>
      <c r="D21" s="9" t="s">
        <v>86</v>
      </c>
      <c r="E21" s="9" t="s">
        <v>84</v>
      </c>
      <c r="F21" s="9" t="s">
        <v>85</v>
      </c>
      <c r="G21" s="9" t="s">
        <v>86</v>
      </c>
      <c r="H21" s="9" t="s">
        <v>84</v>
      </c>
      <c r="I21" s="9" t="s">
        <v>85</v>
      </c>
      <c r="J21" s="9" t="s">
        <v>86</v>
      </c>
    </row>
    <row r="22" spans="1:10">
      <c r="A22" s="10" t="s">
        <v>57</v>
      </c>
      <c r="B22" s="11">
        <v>23</v>
      </c>
      <c r="C22" s="12">
        <v>0.7826087</v>
      </c>
      <c r="D22" s="12">
        <v>0.9565217</v>
      </c>
      <c r="E22" s="11">
        <v>217</v>
      </c>
      <c r="F22" s="12">
        <v>0.7603687</v>
      </c>
      <c r="G22" s="12">
        <v>0.9170507</v>
      </c>
      <c r="H22" s="11">
        <v>0</v>
      </c>
      <c r="I22" s="12">
        <v>0</v>
      </c>
      <c r="J22" s="12">
        <v>0</v>
      </c>
    </row>
    <row r="23" spans="1:10">
      <c r="A23" s="10" t="s">
        <v>58</v>
      </c>
      <c r="B23" s="10">
        <v>28</v>
      </c>
      <c r="C23" s="13">
        <v>0.6785714</v>
      </c>
      <c r="D23" s="13">
        <v>0.9285714</v>
      </c>
      <c r="E23" s="10">
        <v>107</v>
      </c>
      <c r="F23" s="13">
        <v>0.7570093</v>
      </c>
      <c r="G23" s="13">
        <v>0.8691589</v>
      </c>
      <c r="H23" s="10">
        <v>0</v>
      </c>
      <c r="I23" s="13">
        <v>0</v>
      </c>
      <c r="J23" s="13">
        <v>0</v>
      </c>
    </row>
    <row r="24" spans="1:10">
      <c r="A24" s="10" t="s">
        <v>59</v>
      </c>
      <c r="B24" s="11">
        <v>20</v>
      </c>
      <c r="C24" s="12">
        <v>0.8</v>
      </c>
      <c r="D24" s="12">
        <v>1</v>
      </c>
      <c r="E24" s="11">
        <v>168</v>
      </c>
      <c r="F24" s="12">
        <v>0.7916667</v>
      </c>
      <c r="G24" s="12">
        <v>0.9166667</v>
      </c>
      <c r="H24" s="11">
        <v>0</v>
      </c>
      <c r="I24" s="12">
        <v>0</v>
      </c>
      <c r="J24" s="12">
        <v>0</v>
      </c>
    </row>
    <row r="25" spans="1:10">
      <c r="A25" s="14" t="s">
        <v>87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73</v>
      </c>
      <c r="B32" s="18"/>
      <c r="C32" t="s">
        <v>88</v>
      </c>
      <c r="D32"/>
      <c r="E32"/>
      <c r="F32"/>
      <c r="G32"/>
      <c r="H32"/>
      <c r="I32"/>
      <c r="J32"/>
    </row>
    <row r="33" spans="1:10">
      <c r="A33" s="17" t="s">
        <v>75</v>
      </c>
      <c r="B33" s="18"/>
      <c r="C33" t="s">
        <v>76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FIRE&amp;RPrinted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26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103</v>
      </c>
      <c r="B1" s="8"/>
      <c r="C1" s="8"/>
      <c r="D1" s="8"/>
      <c r="E1" s="8"/>
      <c r="F1" s="8"/>
    </row>
    <row r="2" spans="1:6">
      <c r="A2" s="7" t="s">
        <v>104</v>
      </c>
      <c r="B2" s="8"/>
      <c r="C2" s="8"/>
      <c r="D2" s="8"/>
      <c r="E2" s="8"/>
      <c r="F2" s="8"/>
    </row>
    <row r="4" spans="1:6">
      <c r="A4" s="9" t="s">
        <v>105</v>
      </c>
      <c r="B4" s="9" t="s">
        <v>106</v>
      </c>
      <c r="C4" s="9" t="s">
        <v>107</v>
      </c>
      <c r="D4" s="9" t="s">
        <v>108</v>
      </c>
      <c r="E4" s="9" t="s">
        <v>109</v>
      </c>
      <c r="F4" s="9" t="s">
        <v>110</v>
      </c>
    </row>
    <row r="5" spans="1:6">
      <c r="A5" s="10" t="s">
        <v>111</v>
      </c>
      <c r="B5" s="10" t="s">
        <v>112</v>
      </c>
      <c r="C5" s="10" t="s">
        <v>113</v>
      </c>
      <c r="D5" s="10" t="s">
        <v>114</v>
      </c>
      <c r="E5" s="13" t="s">
        <v>0</v>
      </c>
      <c r="F5" s="10">
        <v>3</v>
      </c>
    </row>
    <row r="6" spans="1:6">
      <c r="A6" s="11" t="s">
        <v>115</v>
      </c>
      <c r="B6" s="11" t="s">
        <v>112</v>
      </c>
      <c r="C6" s="11" t="s">
        <v>113</v>
      </c>
      <c r="D6" s="11" t="s">
        <v>114</v>
      </c>
      <c r="E6" s="12" t="s">
        <v>0</v>
      </c>
      <c r="F6" s="11">
        <v>3</v>
      </c>
    </row>
    <row r="7" spans="1:6">
      <c r="A7" s="10" t="s">
        <v>115</v>
      </c>
      <c r="B7" s="10" t="s">
        <v>112</v>
      </c>
      <c r="C7" s="10" t="s">
        <v>116</v>
      </c>
      <c r="D7" s="10" t="s">
        <v>117</v>
      </c>
      <c r="E7" s="13" t="s">
        <v>0</v>
      </c>
      <c r="F7" s="10">
        <v>1</v>
      </c>
    </row>
    <row r="8" spans="1:6">
      <c r="A8" s="11" t="s">
        <v>115</v>
      </c>
      <c r="B8" s="11" t="s">
        <v>118</v>
      </c>
      <c r="C8" s="11" t="s">
        <v>116</v>
      </c>
      <c r="D8" s="11" t="s">
        <v>119</v>
      </c>
      <c r="E8" s="12" t="s">
        <v>120</v>
      </c>
      <c r="F8" s="11">
        <v>4</v>
      </c>
    </row>
    <row r="9" spans="1:6">
      <c r="A9" s="10" t="s">
        <v>121</v>
      </c>
      <c r="B9" s="10" t="s">
        <v>112</v>
      </c>
      <c r="C9" s="10" t="s">
        <v>113</v>
      </c>
      <c r="D9" s="10" t="s">
        <v>114</v>
      </c>
      <c r="E9" s="13" t="s">
        <v>0</v>
      </c>
      <c r="F9" s="10">
        <v>2</v>
      </c>
    </row>
    <row r="10" spans="1:6">
      <c r="A10" s="11" t="s">
        <v>121</v>
      </c>
      <c r="B10" s="11" t="s">
        <v>118</v>
      </c>
      <c r="C10" s="11" t="s">
        <v>116</v>
      </c>
      <c r="D10" s="11" t="s">
        <v>119</v>
      </c>
      <c r="E10" s="12" t="s">
        <v>120</v>
      </c>
      <c r="F10" s="11">
        <v>4</v>
      </c>
    </row>
    <row r="11" spans="1:6">
      <c r="A11" s="10" t="s">
        <v>57</v>
      </c>
      <c r="B11" s="10" t="s">
        <v>112</v>
      </c>
      <c r="C11" s="10" t="s">
        <v>113</v>
      </c>
      <c r="D11" s="10" t="s">
        <v>114</v>
      </c>
      <c r="E11" s="13" t="s">
        <v>0</v>
      </c>
      <c r="F11" s="10">
        <v>1</v>
      </c>
    </row>
    <row r="12" spans="1:6">
      <c r="A12" s="11" t="s">
        <v>57</v>
      </c>
      <c r="B12" s="11" t="s">
        <v>112</v>
      </c>
      <c r="C12" s="11" t="s">
        <v>116</v>
      </c>
      <c r="D12" s="11" t="s">
        <v>117</v>
      </c>
      <c r="E12" s="12" t="s">
        <v>0</v>
      </c>
      <c r="F12" s="11">
        <v>1</v>
      </c>
    </row>
    <row r="13" spans="1:6">
      <c r="A13" s="10" t="s">
        <v>57</v>
      </c>
      <c r="B13" s="10" t="s">
        <v>118</v>
      </c>
      <c r="C13" s="10" t="s">
        <v>116</v>
      </c>
      <c r="D13" s="10" t="s">
        <v>119</v>
      </c>
      <c r="E13" s="13" t="s">
        <v>120</v>
      </c>
      <c r="F13" s="10">
        <v>5</v>
      </c>
    </row>
    <row r="14" spans="1:6">
      <c r="A14" s="11" t="s">
        <v>58</v>
      </c>
      <c r="B14" s="11" t="s">
        <v>112</v>
      </c>
      <c r="C14" s="11" t="s">
        <v>113</v>
      </c>
      <c r="D14" s="11" t="s">
        <v>114</v>
      </c>
      <c r="E14" s="12" t="s">
        <v>0</v>
      </c>
      <c r="F14" s="11">
        <v>2</v>
      </c>
    </row>
    <row r="15" spans="1:6">
      <c r="A15" s="10" t="s">
        <v>58</v>
      </c>
      <c r="B15" s="10" t="s">
        <v>112</v>
      </c>
      <c r="C15" s="10" t="s">
        <v>116</v>
      </c>
      <c r="D15" s="10" t="s">
        <v>117</v>
      </c>
      <c r="E15" s="13" t="s">
        <v>0</v>
      </c>
      <c r="F15" s="10">
        <v>2</v>
      </c>
    </row>
    <row r="16" spans="1:6">
      <c r="A16" s="11" t="s">
        <v>58</v>
      </c>
      <c r="B16" s="11" t="s">
        <v>118</v>
      </c>
      <c r="C16" s="11" t="s">
        <v>116</v>
      </c>
      <c r="D16" s="11" t="s">
        <v>119</v>
      </c>
      <c r="E16" s="12" t="s">
        <v>120</v>
      </c>
      <c r="F16" s="11">
        <v>17</v>
      </c>
    </row>
    <row r="17" spans="1:6">
      <c r="A17" s="10" t="s">
        <v>59</v>
      </c>
      <c r="B17" s="10" t="s">
        <v>112</v>
      </c>
      <c r="C17" s="10" t="s">
        <v>113</v>
      </c>
      <c r="D17" s="10" t="s">
        <v>114</v>
      </c>
      <c r="E17" s="13" t="s">
        <v>0</v>
      </c>
      <c r="F17" s="10">
        <v>3</v>
      </c>
    </row>
    <row r="18" spans="1:6">
      <c r="A18" s="11" t="s">
        <v>59</v>
      </c>
      <c r="B18" s="11" t="s">
        <v>118</v>
      </c>
      <c r="C18" s="11" t="s">
        <v>116</v>
      </c>
      <c r="D18" s="11" t="s">
        <v>119</v>
      </c>
      <c r="E18" s="12" t="s">
        <v>120</v>
      </c>
      <c r="F18" s="11">
        <v>3</v>
      </c>
    </row>
    <row r="19" spans="1:6">
      <c r="A19" s="27"/>
      <c r="B19" s="27"/>
      <c r="C19" s="27"/>
      <c r="D19" s="27"/>
      <c r="E19" s="28" t="s">
        <v>87</v>
      </c>
      <c r="F19" s="15" t="str">
        <f>SUM(F5:F18)</f>
        <v>0</v>
      </c>
    </row>
    <row r="22" spans="1:6">
      <c r="A22" s="6" t="s">
        <v>35</v>
      </c>
      <c r="B22" s="8"/>
      <c r="C22" s="8"/>
      <c r="D22" s="8"/>
      <c r="E22" s="8"/>
      <c r="F22" s="8"/>
    </row>
    <row r="24" spans="1:6" customHeight="1" ht="30">
      <c r="A24" s="22" t="s">
        <v>36</v>
      </c>
      <c r="B24" s="18"/>
      <c r="C24" s="23" t="s">
        <v>37</v>
      </c>
      <c r="D24"/>
      <c r="E24"/>
      <c r="F24"/>
    </row>
    <row r="25" spans="1:6">
      <c r="A25" s="22" t="s">
        <v>122</v>
      </c>
      <c r="B25" s="18"/>
      <c r="C25" t="s">
        <v>123</v>
      </c>
      <c r="D25"/>
      <c r="E25"/>
      <c r="F25"/>
    </row>
    <row r="26" spans="1:6" customHeight="1" ht="30">
      <c r="A26" s="22" t="s">
        <v>124</v>
      </c>
      <c r="B26" s="18"/>
      <c r="C26" s="23" t="s">
        <v>125</v>
      </c>
      <c r="D26"/>
      <c r="E26"/>
      <c r="F2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22:F22"/>
    <mergeCell ref="A24:B24"/>
    <mergeCell ref="C24:F24"/>
    <mergeCell ref="A25:B25"/>
    <mergeCell ref="C25:F25"/>
    <mergeCell ref="A26:B26"/>
    <mergeCell ref="C26:F2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FIRE&amp;RPrinted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38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126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127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128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9" t="s">
        <v>105</v>
      </c>
      <c r="B5" s="25" t="s">
        <v>129</v>
      </c>
      <c r="C5" s="29" t="s">
        <v>130</v>
      </c>
      <c r="D5" s="25" t="s">
        <v>131</v>
      </c>
      <c r="E5" s="25" t="s">
        <v>132</v>
      </c>
      <c r="F5" s="25" t="s">
        <v>133</v>
      </c>
      <c r="G5" s="29" t="s">
        <v>134</v>
      </c>
      <c r="H5" s="29" t="s">
        <v>135</v>
      </c>
      <c r="I5" s="29" t="s">
        <v>136</v>
      </c>
      <c r="J5" s="29" t="s">
        <v>137</v>
      </c>
      <c r="K5" s="29" t="s">
        <v>138</v>
      </c>
      <c r="L5" s="29" t="s">
        <v>139</v>
      </c>
      <c r="M5" s="29" t="s">
        <v>140</v>
      </c>
      <c r="N5" s="29" t="s">
        <v>141</v>
      </c>
      <c r="O5" s="29" t="s">
        <v>142</v>
      </c>
      <c r="P5" s="29" t="s">
        <v>54</v>
      </c>
      <c r="Q5" s="29" t="s">
        <v>55</v>
      </c>
      <c r="R5" s="29" t="s">
        <v>143</v>
      </c>
      <c r="S5" s="29" t="s">
        <v>144</v>
      </c>
      <c r="T5" s="29" t="s">
        <v>145</v>
      </c>
    </row>
    <row r="6" spans="1:20">
      <c r="A6" s="30" t="s">
        <v>57</v>
      </c>
      <c r="B6" s="30" t="s">
        <v>18</v>
      </c>
      <c r="C6" s="30">
        <v>201510</v>
      </c>
      <c r="D6" s="30" t="s">
        <v>112</v>
      </c>
      <c r="E6" s="30" t="s">
        <v>146</v>
      </c>
      <c r="F6" s="30" t="s">
        <v>147</v>
      </c>
      <c r="G6" s="30">
        <v>1</v>
      </c>
      <c r="H6" s="30">
        <v>7</v>
      </c>
      <c r="I6" s="30">
        <v>10</v>
      </c>
      <c r="J6" s="30">
        <v>13</v>
      </c>
      <c r="K6" s="30">
        <v>7</v>
      </c>
      <c r="L6" s="31">
        <v>0.53846</v>
      </c>
      <c r="M6" s="30">
        <v>10</v>
      </c>
      <c r="N6" s="31">
        <v>0.76923</v>
      </c>
      <c r="O6" s="30">
        <v>3.375</v>
      </c>
      <c r="P6" s="30">
        <v>43.875</v>
      </c>
      <c r="Q6" s="30">
        <v>0.2</v>
      </c>
      <c r="R6" s="30">
        <v>219.38</v>
      </c>
      <c r="S6" s="30">
        <v>1.1</v>
      </c>
      <c r="T6" s="30">
        <v>39.89</v>
      </c>
    </row>
    <row r="7" spans="1:20">
      <c r="A7" s="26" t="s">
        <v>58</v>
      </c>
      <c r="B7" s="26" t="s">
        <v>22</v>
      </c>
      <c r="C7" s="26">
        <v>201610</v>
      </c>
      <c r="D7" s="26" t="s">
        <v>112</v>
      </c>
      <c r="E7" s="26" t="s">
        <v>146</v>
      </c>
      <c r="F7" s="26" t="s">
        <v>148</v>
      </c>
      <c r="G7" s="26">
        <v>1</v>
      </c>
      <c r="H7" s="26">
        <v>14</v>
      </c>
      <c r="I7" s="26">
        <v>15</v>
      </c>
      <c r="J7" s="26">
        <v>16</v>
      </c>
      <c r="K7" s="26">
        <v>14</v>
      </c>
      <c r="L7" s="32">
        <v>0.875</v>
      </c>
      <c r="M7" s="26">
        <v>15</v>
      </c>
      <c r="N7" s="32">
        <v>0.9375</v>
      </c>
      <c r="O7" s="26">
        <v>3.375</v>
      </c>
      <c r="P7" s="26">
        <v>54</v>
      </c>
      <c r="Q7" s="26">
        <v>0.2</v>
      </c>
      <c r="R7" s="26">
        <v>270</v>
      </c>
      <c r="S7" s="26">
        <v>1.54</v>
      </c>
      <c r="T7" s="26">
        <v>35.06</v>
      </c>
    </row>
    <row r="8" spans="1:20">
      <c r="A8" s="30" t="s">
        <v>59</v>
      </c>
      <c r="B8" s="30" t="s">
        <v>26</v>
      </c>
      <c r="C8" s="30">
        <v>201710</v>
      </c>
      <c r="D8" s="30" t="s">
        <v>112</v>
      </c>
      <c r="E8" s="30" t="s">
        <v>146</v>
      </c>
      <c r="F8" s="30" t="s">
        <v>148</v>
      </c>
      <c r="G8" s="30">
        <v>1</v>
      </c>
      <c r="H8" s="30">
        <v>18</v>
      </c>
      <c r="I8" s="30">
        <v>18</v>
      </c>
      <c r="J8" s="30">
        <v>20</v>
      </c>
      <c r="K8" s="30">
        <v>18</v>
      </c>
      <c r="L8" s="31">
        <v>0.9</v>
      </c>
      <c r="M8" s="30">
        <v>18</v>
      </c>
      <c r="N8" s="31">
        <v>0.9</v>
      </c>
      <c r="O8" s="30">
        <v>3.375</v>
      </c>
      <c r="P8" s="30">
        <v>67.5</v>
      </c>
      <c r="Q8" s="30">
        <v>0.2</v>
      </c>
      <c r="R8" s="30">
        <v>337.5</v>
      </c>
      <c r="S8" s="30">
        <v>1.93</v>
      </c>
      <c r="T8" s="30">
        <v>34.97</v>
      </c>
    </row>
    <row r="9" spans="1:20">
      <c r="A9" s="26" t="s">
        <v>57</v>
      </c>
      <c r="B9" s="26" t="s">
        <v>20</v>
      </c>
      <c r="C9" s="26">
        <v>201520</v>
      </c>
      <c r="D9" s="26" t="s">
        <v>112</v>
      </c>
      <c r="E9" s="26" t="s">
        <v>149</v>
      </c>
      <c r="F9" s="26" t="s">
        <v>150</v>
      </c>
      <c r="G9" s="26">
        <v>1</v>
      </c>
      <c r="H9" s="26">
        <v>18</v>
      </c>
      <c r="I9" s="26">
        <v>18</v>
      </c>
      <c r="J9" s="26">
        <v>21</v>
      </c>
      <c r="K9" s="26">
        <v>18</v>
      </c>
      <c r="L9" s="32">
        <v>0.85714</v>
      </c>
      <c r="M9" s="26">
        <v>18</v>
      </c>
      <c r="N9" s="32">
        <v>0.85714</v>
      </c>
      <c r="O9" s="26">
        <v>3.375</v>
      </c>
      <c r="P9" s="26">
        <v>70.875</v>
      </c>
      <c r="Q9" s="26">
        <v>0.2</v>
      </c>
      <c r="R9" s="26">
        <v>354.38</v>
      </c>
      <c r="S9" s="26">
        <v>2.02</v>
      </c>
      <c r="T9" s="26">
        <v>35.09</v>
      </c>
    </row>
    <row r="10" spans="1:20">
      <c r="A10" s="30" t="s">
        <v>58</v>
      </c>
      <c r="B10" s="30" t="s">
        <v>24</v>
      </c>
      <c r="C10" s="30">
        <v>201620</v>
      </c>
      <c r="D10" s="30" t="s">
        <v>112</v>
      </c>
      <c r="E10" s="30" t="s">
        <v>149</v>
      </c>
      <c r="F10" s="30" t="s">
        <v>148</v>
      </c>
      <c r="G10" s="30">
        <v>1</v>
      </c>
      <c r="H10" s="30">
        <v>15</v>
      </c>
      <c r="I10" s="30">
        <v>15</v>
      </c>
      <c r="J10" s="30">
        <v>17</v>
      </c>
      <c r="K10" s="30">
        <v>15</v>
      </c>
      <c r="L10" s="31">
        <v>0.88235</v>
      </c>
      <c r="M10" s="30">
        <v>15</v>
      </c>
      <c r="N10" s="31">
        <v>0.88235</v>
      </c>
      <c r="O10" s="30">
        <v>3.375</v>
      </c>
      <c r="P10" s="30">
        <v>57.375</v>
      </c>
      <c r="Q10" s="30">
        <v>0.2</v>
      </c>
      <c r="R10" s="30">
        <v>286.88</v>
      </c>
      <c r="S10" s="30">
        <v>1.64</v>
      </c>
      <c r="T10" s="30">
        <v>34.98</v>
      </c>
    </row>
    <row r="11" spans="1:20">
      <c r="A11" s="26" t="s">
        <v>59</v>
      </c>
      <c r="B11" s="26" t="s">
        <v>28</v>
      </c>
      <c r="C11" s="26">
        <v>201720</v>
      </c>
      <c r="D11" s="26" t="s">
        <v>112</v>
      </c>
      <c r="E11" s="26" t="s">
        <v>149</v>
      </c>
      <c r="F11" s="26" t="s">
        <v>148</v>
      </c>
      <c r="G11" s="26">
        <v>1</v>
      </c>
      <c r="H11" s="26">
        <v>12</v>
      </c>
      <c r="I11" s="26">
        <v>12</v>
      </c>
      <c r="J11" s="26">
        <v>14</v>
      </c>
      <c r="K11" s="26">
        <v>12</v>
      </c>
      <c r="L11" s="32">
        <v>0.85714</v>
      </c>
      <c r="M11" s="26">
        <v>12</v>
      </c>
      <c r="N11" s="32">
        <v>0.85714</v>
      </c>
      <c r="O11" s="26">
        <v>3.375</v>
      </c>
      <c r="P11" s="26">
        <v>47.25</v>
      </c>
      <c r="Q11" s="26">
        <v>0.2</v>
      </c>
      <c r="R11" s="26">
        <v>236.25</v>
      </c>
      <c r="S11" s="26">
        <v>1.35</v>
      </c>
      <c r="T11" s="26">
        <v>35</v>
      </c>
    </row>
    <row r="12" spans="1:20">
      <c r="A12" s="30" t="s">
        <v>57</v>
      </c>
      <c r="B12" s="30" t="s">
        <v>20</v>
      </c>
      <c r="C12" s="30">
        <v>201520</v>
      </c>
      <c r="D12" s="30" t="s">
        <v>112</v>
      </c>
      <c r="E12" s="30" t="s">
        <v>151</v>
      </c>
      <c r="F12" s="30" t="s">
        <v>150</v>
      </c>
      <c r="G12" s="30">
        <v>1</v>
      </c>
      <c r="H12" s="30">
        <v>10</v>
      </c>
      <c r="I12" s="30">
        <v>14</v>
      </c>
      <c r="J12" s="30">
        <v>17</v>
      </c>
      <c r="K12" s="30">
        <v>10</v>
      </c>
      <c r="L12" s="31">
        <v>0.58824</v>
      </c>
      <c r="M12" s="30">
        <v>14</v>
      </c>
      <c r="N12" s="31">
        <v>0.82353</v>
      </c>
      <c r="O12" s="30">
        <v>3.375</v>
      </c>
      <c r="P12" s="30">
        <v>57.375</v>
      </c>
      <c r="Q12" s="30">
        <v>0.2</v>
      </c>
      <c r="R12" s="30">
        <v>286.88</v>
      </c>
      <c r="S12" s="30">
        <v>1.64</v>
      </c>
      <c r="T12" s="30">
        <v>34.98</v>
      </c>
    </row>
    <row r="13" spans="1:20">
      <c r="A13" s="26" t="s">
        <v>58</v>
      </c>
      <c r="B13" s="26" t="s">
        <v>24</v>
      </c>
      <c r="C13" s="26">
        <v>201620</v>
      </c>
      <c r="D13" s="26" t="s">
        <v>112</v>
      </c>
      <c r="E13" s="26" t="s">
        <v>151</v>
      </c>
      <c r="F13" s="26" t="s">
        <v>148</v>
      </c>
      <c r="G13" s="26">
        <v>1</v>
      </c>
      <c r="H13" s="26">
        <v>7</v>
      </c>
      <c r="I13" s="26">
        <v>12</v>
      </c>
      <c r="J13" s="26">
        <v>13</v>
      </c>
      <c r="K13" s="26">
        <v>7</v>
      </c>
      <c r="L13" s="32">
        <v>0.53846</v>
      </c>
      <c r="M13" s="26">
        <v>12</v>
      </c>
      <c r="N13" s="32">
        <v>0.92308</v>
      </c>
      <c r="O13" s="26">
        <v>3.375</v>
      </c>
      <c r="P13" s="26">
        <v>43.875</v>
      </c>
      <c r="Q13" s="26">
        <v>0.2</v>
      </c>
      <c r="R13" s="26">
        <v>219.38</v>
      </c>
      <c r="S13" s="26">
        <v>1.25</v>
      </c>
      <c r="T13" s="26">
        <v>35.1</v>
      </c>
    </row>
    <row r="14" spans="1:20">
      <c r="A14" s="30" t="s">
        <v>59</v>
      </c>
      <c r="B14" s="30" t="s">
        <v>28</v>
      </c>
      <c r="C14" s="30">
        <v>201720</v>
      </c>
      <c r="D14" s="30" t="s">
        <v>112</v>
      </c>
      <c r="E14" s="30" t="s">
        <v>151</v>
      </c>
      <c r="F14" s="30" t="s">
        <v>148</v>
      </c>
      <c r="G14" s="30">
        <v>1</v>
      </c>
      <c r="H14" s="30">
        <v>7</v>
      </c>
      <c r="I14" s="30">
        <v>7</v>
      </c>
      <c r="J14" s="30">
        <v>10</v>
      </c>
      <c r="K14" s="30">
        <v>7</v>
      </c>
      <c r="L14" s="31">
        <v>0.7</v>
      </c>
      <c r="M14" s="30">
        <v>7</v>
      </c>
      <c r="N14" s="31">
        <v>0.7</v>
      </c>
      <c r="O14" s="30">
        <v>3.375</v>
      </c>
      <c r="P14" s="30">
        <v>33.75</v>
      </c>
      <c r="Q14" s="30">
        <v>0.2</v>
      </c>
      <c r="R14" s="30">
        <v>168.75</v>
      </c>
      <c r="S14" s="30">
        <v>0.96</v>
      </c>
      <c r="T14" s="30">
        <v>35.16</v>
      </c>
    </row>
    <row r="15" spans="1:20">
      <c r="A15" s="26" t="s">
        <v>57</v>
      </c>
      <c r="B15" s="26" t="s">
        <v>20</v>
      </c>
      <c r="C15" s="26">
        <v>201520</v>
      </c>
      <c r="D15" s="26" t="s">
        <v>112</v>
      </c>
      <c r="E15" s="26" t="s">
        <v>152</v>
      </c>
      <c r="F15" s="26" t="s">
        <v>147</v>
      </c>
      <c r="G15" s="26">
        <v>1</v>
      </c>
      <c r="H15" s="26">
        <v>8</v>
      </c>
      <c r="I15" s="26">
        <v>9</v>
      </c>
      <c r="J15" s="26">
        <v>13</v>
      </c>
      <c r="K15" s="26">
        <v>8</v>
      </c>
      <c r="L15" s="32">
        <v>0.61538</v>
      </c>
      <c r="M15" s="26">
        <v>9</v>
      </c>
      <c r="N15" s="32">
        <v>0.69231</v>
      </c>
      <c r="O15" s="26">
        <v>3.375</v>
      </c>
      <c r="P15" s="26">
        <v>43.875</v>
      </c>
      <c r="Q15" s="26">
        <v>0.2</v>
      </c>
      <c r="R15" s="26">
        <v>219.38</v>
      </c>
      <c r="S15" s="26">
        <v>1.1</v>
      </c>
      <c r="T15" s="26">
        <v>39.89</v>
      </c>
    </row>
    <row r="16" spans="1:20">
      <c r="A16" s="30" t="s">
        <v>58</v>
      </c>
      <c r="B16" s="30" t="s">
        <v>24</v>
      </c>
      <c r="C16" s="30">
        <v>201620</v>
      </c>
      <c r="D16" s="30" t="s">
        <v>112</v>
      </c>
      <c r="E16" s="30" t="s">
        <v>152</v>
      </c>
      <c r="F16" s="30" t="s">
        <v>147</v>
      </c>
      <c r="G16" s="30">
        <v>1</v>
      </c>
      <c r="H16" s="30">
        <v>3</v>
      </c>
      <c r="I16" s="30">
        <v>11</v>
      </c>
      <c r="J16" s="30">
        <v>17</v>
      </c>
      <c r="K16" s="30">
        <v>3</v>
      </c>
      <c r="L16" s="31">
        <v>0.17647</v>
      </c>
      <c r="M16" s="30">
        <v>11</v>
      </c>
      <c r="N16" s="31">
        <v>0.64706</v>
      </c>
      <c r="O16" s="30">
        <v>3.375</v>
      </c>
      <c r="P16" s="30">
        <v>57.375</v>
      </c>
      <c r="Q16" s="30">
        <v>0.2</v>
      </c>
      <c r="R16" s="30">
        <v>286.88</v>
      </c>
      <c r="S16" s="30">
        <v>1.44</v>
      </c>
      <c r="T16" s="30">
        <v>39.84</v>
      </c>
    </row>
    <row r="17" spans="1:20">
      <c r="A17" s="26" t="s">
        <v>59</v>
      </c>
      <c r="B17" s="26" t="s">
        <v>28</v>
      </c>
      <c r="C17" s="26">
        <v>201720</v>
      </c>
      <c r="D17" s="26" t="s">
        <v>112</v>
      </c>
      <c r="E17" s="26" t="s">
        <v>152</v>
      </c>
      <c r="F17" s="26" t="s">
        <v>147</v>
      </c>
      <c r="G17" s="26">
        <v>1</v>
      </c>
      <c r="H17" s="26">
        <v>6</v>
      </c>
      <c r="I17" s="26">
        <v>13</v>
      </c>
      <c r="J17" s="26">
        <v>14</v>
      </c>
      <c r="K17" s="26">
        <v>6</v>
      </c>
      <c r="L17" s="32">
        <v>0.42857</v>
      </c>
      <c r="M17" s="26">
        <v>13</v>
      </c>
      <c r="N17" s="32">
        <v>0.92857</v>
      </c>
      <c r="O17" s="26">
        <v>3.375</v>
      </c>
      <c r="P17" s="26">
        <v>47.25</v>
      </c>
      <c r="Q17" s="26">
        <v>0.2</v>
      </c>
      <c r="R17" s="26">
        <v>236.25</v>
      </c>
      <c r="S17" s="26">
        <v>1.19</v>
      </c>
      <c r="T17" s="26">
        <v>39.71</v>
      </c>
    </row>
    <row r="18" spans="1:20">
      <c r="A18" s="30" t="s">
        <v>57</v>
      </c>
      <c r="B18" s="30" t="s">
        <v>18</v>
      </c>
      <c r="C18" s="30">
        <v>201510</v>
      </c>
      <c r="D18" s="30" t="s">
        <v>112</v>
      </c>
      <c r="E18" s="30" t="s">
        <v>153</v>
      </c>
      <c r="F18" s="30" t="s">
        <v>150</v>
      </c>
      <c r="G18" s="30">
        <v>1</v>
      </c>
      <c r="H18" s="30">
        <v>11</v>
      </c>
      <c r="I18" s="30">
        <v>14</v>
      </c>
      <c r="J18" s="30">
        <v>15</v>
      </c>
      <c r="K18" s="30">
        <v>11</v>
      </c>
      <c r="L18" s="31">
        <v>0.73333</v>
      </c>
      <c r="M18" s="30">
        <v>14</v>
      </c>
      <c r="N18" s="31">
        <v>0.93333</v>
      </c>
      <c r="O18" s="30">
        <v>3.375</v>
      </c>
      <c r="P18" s="30">
        <v>50.625</v>
      </c>
      <c r="Q18" s="30">
        <v>0.2</v>
      </c>
      <c r="R18" s="30">
        <v>253.13</v>
      </c>
      <c r="S18" s="30">
        <v>1.44</v>
      </c>
      <c r="T18" s="30">
        <v>35.16</v>
      </c>
    </row>
    <row r="19" spans="1:20">
      <c r="A19" s="26" t="s">
        <v>59</v>
      </c>
      <c r="B19" s="26" t="s">
        <v>26</v>
      </c>
      <c r="C19" s="26">
        <v>201710</v>
      </c>
      <c r="D19" s="26" t="s">
        <v>112</v>
      </c>
      <c r="E19" s="26" t="s">
        <v>153</v>
      </c>
      <c r="F19" s="26" t="s">
        <v>148</v>
      </c>
      <c r="G19" s="26">
        <v>1</v>
      </c>
      <c r="H19" s="26">
        <v>7</v>
      </c>
      <c r="I19" s="26">
        <v>12</v>
      </c>
      <c r="J19" s="26">
        <v>13</v>
      </c>
      <c r="K19" s="26">
        <v>7</v>
      </c>
      <c r="L19" s="32">
        <v>0.53846</v>
      </c>
      <c r="M19" s="26">
        <v>12</v>
      </c>
      <c r="N19" s="32">
        <v>0.92308</v>
      </c>
      <c r="O19" s="26">
        <v>3.375</v>
      </c>
      <c r="P19" s="26">
        <v>43.875</v>
      </c>
      <c r="Q19" s="26">
        <v>0.2</v>
      </c>
      <c r="R19" s="26">
        <v>219.38</v>
      </c>
      <c r="S19" s="26">
        <v>1.25</v>
      </c>
      <c r="T19" s="26">
        <v>35.1</v>
      </c>
    </row>
    <row r="20" spans="1:20">
      <c r="A20" s="30" t="s">
        <v>57</v>
      </c>
      <c r="B20" s="30" t="s">
        <v>18</v>
      </c>
      <c r="C20" s="30">
        <v>201510</v>
      </c>
      <c r="D20" s="30" t="s">
        <v>112</v>
      </c>
      <c r="E20" s="30" t="s">
        <v>154</v>
      </c>
      <c r="F20" s="30" t="s">
        <v>147</v>
      </c>
      <c r="G20" s="30">
        <v>1</v>
      </c>
      <c r="H20" s="30">
        <v>6</v>
      </c>
      <c r="I20" s="30">
        <v>13</v>
      </c>
      <c r="J20" s="30">
        <v>16</v>
      </c>
      <c r="K20" s="30">
        <v>6</v>
      </c>
      <c r="L20" s="31">
        <v>0.375</v>
      </c>
      <c r="M20" s="30">
        <v>13</v>
      </c>
      <c r="N20" s="31">
        <v>0.8125</v>
      </c>
      <c r="O20" s="30">
        <v>3.375</v>
      </c>
      <c r="P20" s="30">
        <v>54</v>
      </c>
      <c r="Q20" s="30">
        <v>0.2</v>
      </c>
      <c r="R20" s="30">
        <v>270</v>
      </c>
      <c r="S20" s="30">
        <v>1.36</v>
      </c>
      <c r="T20" s="30">
        <v>39.71</v>
      </c>
    </row>
    <row r="21" spans="1:20">
      <c r="A21" s="26" t="s">
        <v>58</v>
      </c>
      <c r="B21" s="26" t="s">
        <v>22</v>
      </c>
      <c r="C21" s="26">
        <v>201610</v>
      </c>
      <c r="D21" s="26" t="s">
        <v>112</v>
      </c>
      <c r="E21" s="26" t="s">
        <v>154</v>
      </c>
      <c r="F21" s="26" t="s">
        <v>147</v>
      </c>
      <c r="G21" s="26">
        <v>1</v>
      </c>
      <c r="H21" s="26">
        <v>9</v>
      </c>
      <c r="I21" s="26">
        <v>12</v>
      </c>
      <c r="J21" s="26">
        <v>14</v>
      </c>
      <c r="K21" s="26">
        <v>9</v>
      </c>
      <c r="L21" s="32">
        <v>0.64286</v>
      </c>
      <c r="M21" s="26">
        <v>12</v>
      </c>
      <c r="N21" s="32">
        <v>0.85714</v>
      </c>
      <c r="O21" s="26">
        <v>3.375</v>
      </c>
      <c r="P21" s="26">
        <v>47.25</v>
      </c>
      <c r="Q21" s="26">
        <v>0.2</v>
      </c>
      <c r="R21" s="26">
        <v>236.25</v>
      </c>
      <c r="S21" s="26">
        <v>1.19</v>
      </c>
      <c r="T21" s="26">
        <v>39.71</v>
      </c>
    </row>
    <row r="22" spans="1:20">
      <c r="A22" s="30" t="s">
        <v>59</v>
      </c>
      <c r="B22" s="30" t="s">
        <v>26</v>
      </c>
      <c r="C22" s="30">
        <v>201710</v>
      </c>
      <c r="D22" s="30" t="s">
        <v>112</v>
      </c>
      <c r="E22" s="30" t="s">
        <v>154</v>
      </c>
      <c r="F22" s="30" t="s">
        <v>147</v>
      </c>
      <c r="G22" s="30">
        <v>1</v>
      </c>
      <c r="H22" s="30">
        <v>9</v>
      </c>
      <c r="I22" s="30">
        <v>9</v>
      </c>
      <c r="J22" s="30">
        <v>14</v>
      </c>
      <c r="K22" s="30">
        <v>9</v>
      </c>
      <c r="L22" s="31">
        <v>0.64286</v>
      </c>
      <c r="M22" s="30">
        <v>9</v>
      </c>
      <c r="N22" s="31">
        <v>0.64286</v>
      </c>
      <c r="O22" s="30">
        <v>3.375</v>
      </c>
      <c r="P22" s="30">
        <v>47.25</v>
      </c>
      <c r="Q22" s="30">
        <v>0.2</v>
      </c>
      <c r="R22" s="30">
        <v>236.25</v>
      </c>
      <c r="S22" s="30">
        <v>1.19</v>
      </c>
      <c r="T22" s="30">
        <v>39.71</v>
      </c>
    </row>
    <row r="23" spans="1:20">
      <c r="A23" s="26" t="s">
        <v>57</v>
      </c>
      <c r="B23" s="26" t="s">
        <v>20</v>
      </c>
      <c r="C23" s="26">
        <v>201520</v>
      </c>
      <c r="D23" s="26" t="s">
        <v>112</v>
      </c>
      <c r="E23" s="26" t="s">
        <v>155</v>
      </c>
      <c r="F23" s="26" t="s">
        <v>148</v>
      </c>
      <c r="G23" s="26">
        <v>1</v>
      </c>
      <c r="H23" s="26">
        <v>17</v>
      </c>
      <c r="I23" s="26">
        <v>19</v>
      </c>
      <c r="J23" s="26">
        <v>20</v>
      </c>
      <c r="K23" s="26">
        <v>17</v>
      </c>
      <c r="L23" s="32">
        <v>0.85</v>
      </c>
      <c r="M23" s="26">
        <v>19</v>
      </c>
      <c r="N23" s="32">
        <v>0.95</v>
      </c>
      <c r="O23" s="26">
        <v>2.25</v>
      </c>
      <c r="P23" s="26">
        <v>45</v>
      </c>
      <c r="Q23" s="26">
        <v>0.13</v>
      </c>
      <c r="R23" s="26">
        <v>346.15</v>
      </c>
      <c r="S23" s="26">
        <v>1.13</v>
      </c>
      <c r="T23" s="26">
        <v>39.82</v>
      </c>
    </row>
    <row r="24" spans="1:20">
      <c r="A24" s="30" t="s">
        <v>57</v>
      </c>
      <c r="B24" s="30" t="s">
        <v>18</v>
      </c>
      <c r="C24" s="30">
        <v>201510</v>
      </c>
      <c r="D24" s="30" t="s">
        <v>112</v>
      </c>
      <c r="E24" s="30" t="s">
        <v>156</v>
      </c>
      <c r="F24" s="30" t="s">
        <v>150</v>
      </c>
      <c r="G24" s="30">
        <v>1</v>
      </c>
      <c r="H24" s="30">
        <v>18</v>
      </c>
      <c r="I24" s="30">
        <v>22</v>
      </c>
      <c r="J24" s="30">
        <v>22</v>
      </c>
      <c r="K24" s="30">
        <v>18</v>
      </c>
      <c r="L24" s="31">
        <v>0.81818</v>
      </c>
      <c r="M24" s="30">
        <v>22</v>
      </c>
      <c r="N24" s="31">
        <v>1</v>
      </c>
      <c r="O24" s="30">
        <v>1.125</v>
      </c>
      <c r="P24" s="30">
        <v>24.75</v>
      </c>
      <c r="Q24" s="30">
        <v>0.16</v>
      </c>
      <c r="R24" s="30">
        <v>154.69</v>
      </c>
      <c r="S24" s="30">
        <v>0.68</v>
      </c>
      <c r="T24" s="30">
        <v>36.4</v>
      </c>
    </row>
    <row r="25" spans="1:20">
      <c r="A25" s="26" t="s">
        <v>57</v>
      </c>
      <c r="B25" s="26" t="s">
        <v>20</v>
      </c>
      <c r="C25" s="26">
        <v>201520</v>
      </c>
      <c r="D25" s="26" t="s">
        <v>112</v>
      </c>
      <c r="E25" s="26" t="s">
        <v>157</v>
      </c>
      <c r="F25" s="26" t="s">
        <v>148</v>
      </c>
      <c r="G25" s="26">
        <v>1</v>
      </c>
      <c r="H25" s="26">
        <v>18</v>
      </c>
      <c r="I25" s="26">
        <v>20</v>
      </c>
      <c r="J25" s="26">
        <v>20</v>
      </c>
      <c r="K25" s="26">
        <v>18</v>
      </c>
      <c r="L25" s="32">
        <v>0.9</v>
      </c>
      <c r="M25" s="26">
        <v>20</v>
      </c>
      <c r="N25" s="32">
        <v>1</v>
      </c>
      <c r="O25" s="26">
        <v>1.125</v>
      </c>
      <c r="P25" s="26">
        <v>22.5</v>
      </c>
      <c r="Q25" s="26">
        <v>0.07</v>
      </c>
      <c r="R25" s="26">
        <v>321.43</v>
      </c>
      <c r="S25" s="26">
        <v>0.51</v>
      </c>
      <c r="T25" s="26">
        <v>44.12</v>
      </c>
    </row>
    <row r="26" spans="1:20">
      <c r="A26" s="30" t="s">
        <v>57</v>
      </c>
      <c r="B26" s="30" t="s">
        <v>18</v>
      </c>
      <c r="C26" s="30">
        <v>201510</v>
      </c>
      <c r="D26" s="30" t="s">
        <v>112</v>
      </c>
      <c r="E26" s="30" t="s">
        <v>158</v>
      </c>
      <c r="F26" s="30" t="s">
        <v>150</v>
      </c>
      <c r="G26" s="30">
        <v>1</v>
      </c>
      <c r="H26" s="30">
        <v>15</v>
      </c>
      <c r="I26" s="30">
        <v>22</v>
      </c>
      <c r="J26" s="30">
        <v>22</v>
      </c>
      <c r="K26" s="30">
        <v>15</v>
      </c>
      <c r="L26" s="31">
        <v>0.68182</v>
      </c>
      <c r="M26" s="30">
        <v>22</v>
      </c>
      <c r="N26" s="31">
        <v>1</v>
      </c>
      <c r="O26" s="30">
        <v>0.563</v>
      </c>
      <c r="P26" s="30">
        <v>12.375</v>
      </c>
      <c r="Q26" s="30">
        <v>0.03</v>
      </c>
      <c r="R26" s="30">
        <v>412.5</v>
      </c>
      <c r="S26" s="30">
        <v>0.24</v>
      </c>
      <c r="T26" s="30">
        <v>51.56</v>
      </c>
    </row>
    <row r="27" spans="1:20">
      <c r="A27" s="26" t="s">
        <v>57</v>
      </c>
      <c r="B27" s="26" t="s">
        <v>18</v>
      </c>
      <c r="C27" s="26">
        <v>201510</v>
      </c>
      <c r="D27" s="26" t="s">
        <v>112</v>
      </c>
      <c r="E27" s="26" t="s">
        <v>159</v>
      </c>
      <c r="F27" s="26" t="s">
        <v>148</v>
      </c>
      <c r="G27" s="26">
        <v>1</v>
      </c>
      <c r="H27" s="26">
        <v>17</v>
      </c>
      <c r="I27" s="26">
        <v>19</v>
      </c>
      <c r="J27" s="26">
        <v>19</v>
      </c>
      <c r="K27" s="26">
        <v>17</v>
      </c>
      <c r="L27" s="32">
        <v>0.89474</v>
      </c>
      <c r="M27" s="26">
        <v>19</v>
      </c>
      <c r="N27" s="32">
        <v>1</v>
      </c>
      <c r="O27" s="26">
        <v>8.1</v>
      </c>
      <c r="P27" s="26">
        <v>153.9</v>
      </c>
      <c r="Q27" s="26">
        <v>1.07</v>
      </c>
      <c r="R27" s="26">
        <v>143.83</v>
      </c>
      <c r="S27" s="26">
        <v>4.35</v>
      </c>
      <c r="T27" s="26">
        <v>35.38</v>
      </c>
    </row>
    <row r="28" spans="1:20">
      <c r="A28" s="30" t="s">
        <v>57</v>
      </c>
      <c r="B28" s="30" t="s">
        <v>20</v>
      </c>
      <c r="C28" s="30">
        <v>201520</v>
      </c>
      <c r="D28" s="30" t="s">
        <v>112</v>
      </c>
      <c r="E28" s="30" t="s">
        <v>160</v>
      </c>
      <c r="F28" s="30" t="s">
        <v>148</v>
      </c>
      <c r="G28" s="30">
        <v>1</v>
      </c>
      <c r="H28" s="30">
        <v>16</v>
      </c>
      <c r="I28" s="30">
        <v>16</v>
      </c>
      <c r="J28" s="30">
        <v>16</v>
      </c>
      <c r="K28" s="30">
        <v>16</v>
      </c>
      <c r="L28" s="31">
        <v>1</v>
      </c>
      <c r="M28" s="30">
        <v>16</v>
      </c>
      <c r="N28" s="31">
        <v>1</v>
      </c>
      <c r="O28" s="30">
        <v>7.763</v>
      </c>
      <c r="P28" s="30">
        <v>124.2</v>
      </c>
      <c r="Q28" s="30">
        <v>1.13</v>
      </c>
      <c r="R28" s="30">
        <v>109.91</v>
      </c>
      <c r="S28" s="30">
        <v>3.37</v>
      </c>
      <c r="T28" s="30">
        <v>36.85</v>
      </c>
    </row>
    <row r="29" spans="1:20">
      <c r="A29" s="26" t="s">
        <v>58</v>
      </c>
      <c r="B29" s="26" t="s">
        <v>22</v>
      </c>
      <c r="C29" s="26">
        <v>201610</v>
      </c>
      <c r="D29" s="26" t="s">
        <v>112</v>
      </c>
      <c r="E29" s="26" t="s">
        <v>161</v>
      </c>
      <c r="F29" s="26" t="s">
        <v>150</v>
      </c>
      <c r="G29" s="26">
        <v>1</v>
      </c>
      <c r="H29" s="26">
        <v>22</v>
      </c>
      <c r="I29" s="26">
        <v>23</v>
      </c>
      <c r="J29" s="26">
        <v>26</v>
      </c>
      <c r="K29" s="26">
        <v>22</v>
      </c>
      <c r="L29" s="32">
        <v>0.84615</v>
      </c>
      <c r="M29" s="26">
        <v>23</v>
      </c>
      <c r="N29" s="32">
        <v>0.88462</v>
      </c>
      <c r="O29" s="26">
        <v>12.938</v>
      </c>
      <c r="P29" s="26">
        <v>336.375</v>
      </c>
      <c r="Q29" s="26">
        <v>0.77</v>
      </c>
      <c r="R29" s="26">
        <v>436.85</v>
      </c>
      <c r="S29" s="26">
        <v>9.65</v>
      </c>
      <c r="T29" s="26">
        <v>34.86</v>
      </c>
    </row>
    <row r="30" spans="1:20">
      <c r="A30" s="30" t="s">
        <v>59</v>
      </c>
      <c r="B30" s="30" t="s">
        <v>26</v>
      </c>
      <c r="C30" s="30">
        <v>201710</v>
      </c>
      <c r="D30" s="30" t="s">
        <v>112</v>
      </c>
      <c r="E30" s="30" t="s">
        <v>161</v>
      </c>
      <c r="F30" s="30" t="s">
        <v>148</v>
      </c>
      <c r="G30" s="30">
        <v>1</v>
      </c>
      <c r="H30" s="30">
        <v>18</v>
      </c>
      <c r="I30" s="30">
        <v>26</v>
      </c>
      <c r="J30" s="30">
        <v>29</v>
      </c>
      <c r="K30" s="30">
        <v>18</v>
      </c>
      <c r="L30" s="31">
        <v>0.62069</v>
      </c>
      <c r="M30" s="30">
        <v>26</v>
      </c>
      <c r="N30" s="31">
        <v>0.89655</v>
      </c>
      <c r="O30" s="30">
        <v>12.938</v>
      </c>
      <c r="P30" s="30">
        <v>375.188</v>
      </c>
      <c r="Q30" s="30">
        <v>0.77</v>
      </c>
      <c r="R30" s="30">
        <v>487.26</v>
      </c>
      <c r="S30" s="30">
        <v>10.76</v>
      </c>
      <c r="T30" s="30">
        <v>34.87</v>
      </c>
    </row>
    <row r="31" spans="1:20">
      <c r="A31" s="26" t="s">
        <v>58</v>
      </c>
      <c r="B31" s="26" t="s">
        <v>24</v>
      </c>
      <c r="C31" s="26">
        <v>201620</v>
      </c>
      <c r="D31" s="26" t="s">
        <v>112</v>
      </c>
      <c r="E31" s="26" t="s">
        <v>162</v>
      </c>
      <c r="F31" s="26" t="s">
        <v>148</v>
      </c>
      <c r="G31" s="26">
        <v>1</v>
      </c>
      <c r="H31" s="26">
        <v>15</v>
      </c>
      <c r="I31" s="26">
        <v>16</v>
      </c>
      <c r="J31" s="26">
        <v>17</v>
      </c>
      <c r="K31" s="26">
        <v>15</v>
      </c>
      <c r="L31" s="32">
        <v>0.88235</v>
      </c>
      <c r="M31" s="26">
        <v>16</v>
      </c>
      <c r="N31" s="32">
        <v>0.94118</v>
      </c>
      <c r="O31" s="26">
        <v>18</v>
      </c>
      <c r="P31" s="26">
        <v>306</v>
      </c>
      <c r="Q31" s="26">
        <v>2.26</v>
      </c>
      <c r="R31" s="26">
        <v>135.4</v>
      </c>
      <c r="S31" s="26">
        <v>8.71</v>
      </c>
      <c r="T31" s="26">
        <v>35.13</v>
      </c>
    </row>
    <row r="32" spans="1:20">
      <c r="A32" s="30" t="s">
        <v>59</v>
      </c>
      <c r="B32" s="30" t="s">
        <v>28</v>
      </c>
      <c r="C32" s="30">
        <v>201720</v>
      </c>
      <c r="D32" s="30" t="s">
        <v>112</v>
      </c>
      <c r="E32" s="30" t="s">
        <v>162</v>
      </c>
      <c r="F32" s="30" t="s">
        <v>148</v>
      </c>
      <c r="G32" s="30">
        <v>1</v>
      </c>
      <c r="H32" s="30">
        <v>13</v>
      </c>
      <c r="I32" s="30">
        <v>15</v>
      </c>
      <c r="J32" s="30">
        <v>15</v>
      </c>
      <c r="K32" s="30">
        <v>13</v>
      </c>
      <c r="L32" s="31">
        <v>0.86667</v>
      </c>
      <c r="M32" s="30">
        <v>15</v>
      </c>
      <c r="N32" s="31">
        <v>1</v>
      </c>
      <c r="O32" s="30">
        <v>18</v>
      </c>
      <c r="P32" s="30">
        <v>270</v>
      </c>
      <c r="Q32" s="30">
        <v>1.9</v>
      </c>
      <c r="R32" s="30">
        <v>142.11</v>
      </c>
      <c r="S32" s="30">
        <v>7.86</v>
      </c>
      <c r="T32" s="30">
        <v>34.35</v>
      </c>
    </row>
    <row r="33" spans="1:20">
      <c r="A33" s="26" t="s">
        <v>58</v>
      </c>
      <c r="B33" s="26" t="s">
        <v>25</v>
      </c>
      <c r="C33" s="26">
        <v>201630</v>
      </c>
      <c r="D33" s="26" t="s">
        <v>112</v>
      </c>
      <c r="E33" s="26" t="s">
        <v>163</v>
      </c>
      <c r="F33" s="26" t="s">
        <v>150</v>
      </c>
      <c r="G33" s="26">
        <v>1</v>
      </c>
      <c r="H33" s="26">
        <v>15</v>
      </c>
      <c r="I33" s="26">
        <v>15</v>
      </c>
      <c r="J33" s="26">
        <v>15</v>
      </c>
      <c r="K33" s="26">
        <v>15</v>
      </c>
      <c r="L33" s="32">
        <v>1</v>
      </c>
      <c r="M33" s="26">
        <v>15</v>
      </c>
      <c r="N33" s="32">
        <v>1</v>
      </c>
      <c r="O33" s="26">
        <v>5.344</v>
      </c>
      <c r="P33" s="26">
        <v>80.156</v>
      </c>
      <c r="Q33" s="26">
        <v>0.32</v>
      </c>
      <c r="R33" s="26">
        <v>250.49</v>
      </c>
      <c r="S33" s="26">
        <v>2.32</v>
      </c>
      <c r="T33" s="26">
        <v>34.55</v>
      </c>
    </row>
    <row r="34" spans="1:20">
      <c r="A34" s="30" t="s">
        <v>59</v>
      </c>
      <c r="B34" s="30" t="s">
        <v>29</v>
      </c>
      <c r="C34" s="30">
        <v>201730</v>
      </c>
      <c r="D34" s="30" t="s">
        <v>112</v>
      </c>
      <c r="E34" s="30" t="s">
        <v>163</v>
      </c>
      <c r="F34" s="30" t="s">
        <v>150</v>
      </c>
      <c r="G34" s="30">
        <v>1</v>
      </c>
      <c r="H34" s="30">
        <v>13</v>
      </c>
      <c r="I34" s="30">
        <v>13</v>
      </c>
      <c r="J34" s="30">
        <v>13</v>
      </c>
      <c r="K34" s="30">
        <v>13</v>
      </c>
      <c r="L34" s="31">
        <v>1</v>
      </c>
      <c r="M34" s="30">
        <v>13</v>
      </c>
      <c r="N34" s="31">
        <v>1</v>
      </c>
      <c r="O34" s="30">
        <v>5.344</v>
      </c>
      <c r="P34" s="30">
        <v>69.469</v>
      </c>
      <c r="Q34" s="30">
        <v>0.38</v>
      </c>
      <c r="R34" s="30">
        <v>182.81</v>
      </c>
      <c r="S34" s="30">
        <v>2.01</v>
      </c>
      <c r="T34" s="30">
        <v>34.56</v>
      </c>
    </row>
    <row r="35" spans="1:20">
      <c r="A35" s="26" t="s">
        <v>59</v>
      </c>
      <c r="B35" s="26" t="s">
        <v>26</v>
      </c>
      <c r="C35" s="26">
        <v>201710</v>
      </c>
      <c r="D35" s="26" t="s">
        <v>112</v>
      </c>
      <c r="E35" s="26" t="s">
        <v>164</v>
      </c>
      <c r="F35" s="26" t="s">
        <v>150</v>
      </c>
      <c r="G35" s="26">
        <v>1</v>
      </c>
      <c r="H35" s="26">
        <v>25</v>
      </c>
      <c r="I35" s="26">
        <v>25</v>
      </c>
      <c r="J35" s="26">
        <v>25</v>
      </c>
      <c r="K35" s="26">
        <v>25</v>
      </c>
      <c r="L35" s="32">
        <v>1</v>
      </c>
      <c r="M35" s="26">
        <v>25</v>
      </c>
      <c r="N35" s="32">
        <v>1</v>
      </c>
      <c r="O35" s="26">
        <v>2.813</v>
      </c>
      <c r="P35" s="26">
        <v>70.313</v>
      </c>
      <c r="Q35" s="26">
        <v>0.27</v>
      </c>
      <c r="R35" s="26">
        <v>260.42</v>
      </c>
      <c r="S35" s="26">
        <v>1.99</v>
      </c>
      <c r="T35" s="26">
        <v>35.33</v>
      </c>
    </row>
    <row r="36" spans="1:20">
      <c r="A36" s="30" t="s">
        <v>59</v>
      </c>
      <c r="B36" s="30" t="s">
        <v>26</v>
      </c>
      <c r="C36" s="30">
        <v>201710</v>
      </c>
      <c r="D36" s="30" t="s">
        <v>112</v>
      </c>
      <c r="E36" s="30" t="s">
        <v>165</v>
      </c>
      <c r="F36" s="30" t="s">
        <v>150</v>
      </c>
      <c r="G36" s="30">
        <v>1</v>
      </c>
      <c r="H36" s="30">
        <v>21</v>
      </c>
      <c r="I36" s="30">
        <v>21</v>
      </c>
      <c r="J36" s="30">
        <v>21</v>
      </c>
      <c r="K36" s="30">
        <v>21</v>
      </c>
      <c r="L36" s="31">
        <v>1</v>
      </c>
      <c r="M36" s="30">
        <v>21</v>
      </c>
      <c r="N36" s="31">
        <v>1</v>
      </c>
      <c r="O36" s="30">
        <v>2.813</v>
      </c>
      <c r="P36" s="30">
        <v>59.063</v>
      </c>
      <c r="Q36" s="30">
        <v>0.27</v>
      </c>
      <c r="R36" s="30">
        <v>218.75</v>
      </c>
      <c r="S36" s="30">
        <v>1.67</v>
      </c>
      <c r="T36" s="30">
        <v>35.37</v>
      </c>
    </row>
    <row r="37" spans="1:20">
      <c r="A37" s="26" t="s">
        <v>57</v>
      </c>
      <c r="B37" s="26" t="s">
        <v>21</v>
      </c>
      <c r="C37" s="26">
        <v>201530</v>
      </c>
      <c r="D37" s="26" t="s">
        <v>112</v>
      </c>
      <c r="E37" s="26" t="s">
        <v>166</v>
      </c>
      <c r="F37" s="26" t="s">
        <v>150</v>
      </c>
      <c r="G37" s="26">
        <v>1</v>
      </c>
      <c r="H37" s="26">
        <v>13</v>
      </c>
      <c r="I37" s="26">
        <v>14</v>
      </c>
      <c r="J37" s="26">
        <v>14</v>
      </c>
      <c r="K37" s="26">
        <v>13</v>
      </c>
      <c r="L37" s="32">
        <v>0.92857</v>
      </c>
      <c r="M37" s="26">
        <v>14</v>
      </c>
      <c r="N37" s="32">
        <v>1</v>
      </c>
      <c r="O37" s="26">
        <v>2.813</v>
      </c>
      <c r="P37" s="26">
        <v>39.375</v>
      </c>
      <c r="Q37" s="26">
        <v>0.17</v>
      </c>
      <c r="R37" s="26">
        <v>231.62</v>
      </c>
      <c r="S37" s="26">
        <v>1.12</v>
      </c>
      <c r="T37" s="26">
        <v>35.16</v>
      </c>
    </row>
    <row r="38" spans="1:20">
      <c r="A38" s="30" t="s">
        <v>57</v>
      </c>
      <c r="B38" s="30" t="s">
        <v>19</v>
      </c>
      <c r="C38" s="30">
        <v>201515</v>
      </c>
      <c r="D38" s="30" t="s">
        <v>112</v>
      </c>
      <c r="E38" s="30" t="s">
        <v>167</v>
      </c>
      <c r="F38" s="30" t="s">
        <v>150</v>
      </c>
      <c r="G38" s="30">
        <v>1</v>
      </c>
      <c r="H38" s="30">
        <v>9</v>
      </c>
      <c r="I38" s="30">
        <v>11</v>
      </c>
      <c r="J38" s="30">
        <v>12</v>
      </c>
      <c r="K38" s="30">
        <v>9</v>
      </c>
      <c r="L38" s="31">
        <v>0.75</v>
      </c>
      <c r="M38" s="30">
        <v>11</v>
      </c>
      <c r="N38" s="31">
        <v>0.91667</v>
      </c>
      <c r="O38" s="30">
        <v>2.813</v>
      </c>
      <c r="P38" s="30">
        <v>33.75</v>
      </c>
      <c r="Q38" s="30">
        <v>0.17</v>
      </c>
      <c r="R38" s="30">
        <v>198.53</v>
      </c>
      <c r="S38" s="30">
        <v>0.97</v>
      </c>
      <c r="T38" s="30">
        <v>34.79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38"/>
  <mergeCells>
    <mergeCell ref="A1:T1"/>
    <mergeCell ref="A2:T2"/>
    <mergeCell ref="A3:T3"/>
  </mergeCells>
  <conditionalFormatting sqref="L6:L38">
    <cfRule type="cellIs" dxfId="0" priority="1" operator="lessThan">
      <formula>0.7</formula>
    </cfRule>
  </conditionalFormatting>
  <conditionalFormatting sqref="N6:N38">
    <cfRule type="cellIs" dxfId="1" priority="2" operator="lessThan">
      <formula>0.86</formula>
    </cfRule>
  </conditionalFormatting>
  <conditionalFormatting sqref="R6:R38">
    <cfRule type="cellIs" dxfId="2" priority="3" operator="lessThan">
      <formula>565</formula>
    </cfRule>
  </conditionalFormatting>
  <conditionalFormatting sqref="R6:R38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FIRE&amp;RPrinted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38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168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169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128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9" t="s">
        <v>105</v>
      </c>
      <c r="B5" s="25" t="s">
        <v>129</v>
      </c>
      <c r="C5" s="29" t="s">
        <v>130</v>
      </c>
      <c r="D5" s="29" t="s">
        <v>170</v>
      </c>
      <c r="E5" s="25" t="s">
        <v>131</v>
      </c>
      <c r="F5" s="25" t="s">
        <v>132</v>
      </c>
      <c r="G5" s="25" t="s">
        <v>133</v>
      </c>
      <c r="H5" s="25" t="s">
        <v>171</v>
      </c>
      <c r="I5" s="25" t="s">
        <v>172</v>
      </c>
      <c r="J5" s="29" t="s">
        <v>135</v>
      </c>
      <c r="K5" s="29" t="s">
        <v>136</v>
      </c>
      <c r="L5" s="29" t="s">
        <v>137</v>
      </c>
      <c r="M5" s="29" t="s">
        <v>139</v>
      </c>
      <c r="N5" s="29" t="s">
        <v>141</v>
      </c>
      <c r="O5" s="29" t="s">
        <v>173</v>
      </c>
      <c r="P5" s="29" t="s">
        <v>142</v>
      </c>
      <c r="Q5" s="29" t="s">
        <v>55</v>
      </c>
      <c r="R5" s="29" t="s">
        <v>143</v>
      </c>
      <c r="S5" s="29" t="s">
        <v>144</v>
      </c>
    </row>
    <row r="6" spans="1:19">
      <c r="A6" s="30" t="s">
        <v>57</v>
      </c>
      <c r="B6" s="30" t="s">
        <v>18</v>
      </c>
      <c r="C6" s="30">
        <v>201510</v>
      </c>
      <c r="D6" s="30">
        <v>10641</v>
      </c>
      <c r="E6" s="30" t="s">
        <v>112</v>
      </c>
      <c r="F6" s="30" t="s">
        <v>146</v>
      </c>
      <c r="G6" s="30" t="s">
        <v>147</v>
      </c>
      <c r="H6" s="30" t="s">
        <v>174</v>
      </c>
      <c r="I6" s="30" t="s">
        <v>175</v>
      </c>
      <c r="J6" s="30">
        <v>7</v>
      </c>
      <c r="K6" s="30">
        <v>10</v>
      </c>
      <c r="L6" s="30">
        <v>13</v>
      </c>
      <c r="M6" s="31">
        <v>0.53846</v>
      </c>
      <c r="N6" s="31">
        <v>0.76923</v>
      </c>
      <c r="O6" s="30">
        <v>1.69</v>
      </c>
      <c r="P6" s="30">
        <v>3.375</v>
      </c>
      <c r="Q6" s="30">
        <v>0.2</v>
      </c>
      <c r="R6" s="30">
        <v>219.38</v>
      </c>
      <c r="S6" s="30">
        <v>1.19</v>
      </c>
    </row>
    <row r="7" spans="1:19">
      <c r="A7" s="26" t="s">
        <v>58</v>
      </c>
      <c r="B7" s="26" t="s">
        <v>22</v>
      </c>
      <c r="C7" s="26">
        <v>201610</v>
      </c>
      <c r="D7" s="26">
        <v>10830</v>
      </c>
      <c r="E7" s="26" t="s">
        <v>112</v>
      </c>
      <c r="F7" s="26" t="s">
        <v>146</v>
      </c>
      <c r="G7" s="26" t="s">
        <v>148</v>
      </c>
      <c r="H7" s="26" t="s">
        <v>174</v>
      </c>
      <c r="I7" s="26" t="s">
        <v>175</v>
      </c>
      <c r="J7" s="26">
        <v>14</v>
      </c>
      <c r="K7" s="26">
        <v>15</v>
      </c>
      <c r="L7" s="26">
        <v>16</v>
      </c>
      <c r="M7" s="32">
        <v>0.875</v>
      </c>
      <c r="N7" s="32">
        <v>0.9375</v>
      </c>
      <c r="O7" s="26">
        <v>3.5</v>
      </c>
      <c r="P7" s="26">
        <v>3.375</v>
      </c>
      <c r="Q7" s="26">
        <v>0.2</v>
      </c>
      <c r="R7" s="26">
        <v>270</v>
      </c>
      <c r="S7" s="26">
        <v>1.66</v>
      </c>
    </row>
    <row r="8" spans="1:19">
      <c r="A8" s="30" t="s">
        <v>59</v>
      </c>
      <c r="B8" s="30" t="s">
        <v>26</v>
      </c>
      <c r="C8" s="30">
        <v>201710</v>
      </c>
      <c r="D8" s="30">
        <v>10830</v>
      </c>
      <c r="E8" s="30" t="s">
        <v>112</v>
      </c>
      <c r="F8" s="30" t="s">
        <v>146</v>
      </c>
      <c r="G8" s="30" t="s">
        <v>148</v>
      </c>
      <c r="H8" s="30" t="s">
        <v>174</v>
      </c>
      <c r="I8" s="30" t="s">
        <v>175</v>
      </c>
      <c r="J8" s="30">
        <v>18</v>
      </c>
      <c r="K8" s="30">
        <v>18</v>
      </c>
      <c r="L8" s="30">
        <v>20</v>
      </c>
      <c r="M8" s="31">
        <v>0.9</v>
      </c>
      <c r="N8" s="31">
        <v>0.9</v>
      </c>
      <c r="O8" s="30">
        <v>3.45</v>
      </c>
      <c r="P8" s="30">
        <v>3.375</v>
      </c>
      <c r="Q8" s="30">
        <v>0.2</v>
      </c>
      <c r="R8" s="30">
        <v>337.5</v>
      </c>
      <c r="S8" s="30">
        <v>2.07</v>
      </c>
    </row>
    <row r="9" spans="1:19">
      <c r="A9" s="26" t="s">
        <v>57</v>
      </c>
      <c r="B9" s="26" t="s">
        <v>20</v>
      </c>
      <c r="C9" s="26">
        <v>201520</v>
      </c>
      <c r="D9" s="26">
        <v>20396</v>
      </c>
      <c r="E9" s="26" t="s">
        <v>112</v>
      </c>
      <c r="F9" s="26" t="s">
        <v>149</v>
      </c>
      <c r="G9" s="26" t="s">
        <v>150</v>
      </c>
      <c r="H9" s="26" t="s">
        <v>174</v>
      </c>
      <c r="I9" s="26" t="s">
        <v>175</v>
      </c>
      <c r="J9" s="26">
        <v>18</v>
      </c>
      <c r="K9" s="26">
        <v>18</v>
      </c>
      <c r="L9" s="26">
        <v>21</v>
      </c>
      <c r="M9" s="32">
        <v>0.85714</v>
      </c>
      <c r="N9" s="32">
        <v>0.85714</v>
      </c>
      <c r="O9" s="26">
        <v>3.19</v>
      </c>
      <c r="P9" s="26">
        <v>3.375</v>
      </c>
      <c r="Q9" s="26">
        <v>0.2</v>
      </c>
      <c r="R9" s="26">
        <v>354.38</v>
      </c>
      <c r="S9" s="26">
        <v>2.18</v>
      </c>
    </row>
    <row r="10" spans="1:19">
      <c r="A10" s="30" t="s">
        <v>58</v>
      </c>
      <c r="B10" s="30" t="s">
        <v>24</v>
      </c>
      <c r="C10" s="30">
        <v>201620</v>
      </c>
      <c r="D10" s="30">
        <v>20887</v>
      </c>
      <c r="E10" s="30" t="s">
        <v>112</v>
      </c>
      <c r="F10" s="30" t="s">
        <v>149</v>
      </c>
      <c r="G10" s="30" t="s">
        <v>148</v>
      </c>
      <c r="H10" s="30" t="s">
        <v>174</v>
      </c>
      <c r="I10" s="30" t="s">
        <v>175</v>
      </c>
      <c r="J10" s="30">
        <v>15</v>
      </c>
      <c r="K10" s="30">
        <v>15</v>
      </c>
      <c r="L10" s="30">
        <v>17</v>
      </c>
      <c r="M10" s="31">
        <v>0.88235</v>
      </c>
      <c r="N10" s="31">
        <v>0.88235</v>
      </c>
      <c r="O10" s="30">
        <v>3.47</v>
      </c>
      <c r="P10" s="30">
        <v>3.375</v>
      </c>
      <c r="Q10" s="30">
        <v>0.2</v>
      </c>
      <c r="R10" s="30">
        <v>286.88</v>
      </c>
      <c r="S10" s="30">
        <v>1.76</v>
      </c>
    </row>
    <row r="11" spans="1:19">
      <c r="A11" s="26" t="s">
        <v>59</v>
      </c>
      <c r="B11" s="26" t="s">
        <v>28</v>
      </c>
      <c r="C11" s="26">
        <v>201720</v>
      </c>
      <c r="D11" s="26">
        <v>20887</v>
      </c>
      <c r="E11" s="26" t="s">
        <v>112</v>
      </c>
      <c r="F11" s="26" t="s">
        <v>149</v>
      </c>
      <c r="G11" s="26" t="s">
        <v>148</v>
      </c>
      <c r="H11" s="26" t="s">
        <v>174</v>
      </c>
      <c r="I11" s="26" t="s">
        <v>175</v>
      </c>
      <c r="J11" s="26">
        <v>12</v>
      </c>
      <c r="K11" s="26">
        <v>12</v>
      </c>
      <c r="L11" s="26">
        <v>14</v>
      </c>
      <c r="M11" s="32">
        <v>0.85714</v>
      </c>
      <c r="N11" s="32">
        <v>0.85714</v>
      </c>
      <c r="O11" s="26">
        <v>3.36</v>
      </c>
      <c r="P11" s="26">
        <v>3.375</v>
      </c>
      <c r="Q11" s="26">
        <v>0.2</v>
      </c>
      <c r="R11" s="26">
        <v>236.25</v>
      </c>
      <c r="S11" s="26">
        <v>1.45</v>
      </c>
    </row>
    <row r="12" spans="1:19">
      <c r="A12" s="30" t="s">
        <v>57</v>
      </c>
      <c r="B12" s="30" t="s">
        <v>20</v>
      </c>
      <c r="C12" s="30">
        <v>201520</v>
      </c>
      <c r="D12" s="30">
        <v>20397</v>
      </c>
      <c r="E12" s="30" t="s">
        <v>112</v>
      </c>
      <c r="F12" s="30" t="s">
        <v>151</v>
      </c>
      <c r="G12" s="30" t="s">
        <v>150</v>
      </c>
      <c r="H12" s="30" t="s">
        <v>174</v>
      </c>
      <c r="I12" s="30" t="s">
        <v>176</v>
      </c>
      <c r="J12" s="30">
        <v>10</v>
      </c>
      <c r="K12" s="30">
        <v>14</v>
      </c>
      <c r="L12" s="30">
        <v>17</v>
      </c>
      <c r="M12" s="31">
        <v>0.58824</v>
      </c>
      <c r="N12" s="31">
        <v>0.82353</v>
      </c>
      <c r="O12" s="30">
        <v>2.29</v>
      </c>
      <c r="P12" s="30">
        <v>3.375</v>
      </c>
      <c r="Q12" s="30">
        <v>0.2</v>
      </c>
      <c r="R12" s="30">
        <v>286.88</v>
      </c>
      <c r="S12" s="30">
        <v>1.76</v>
      </c>
    </row>
    <row r="13" spans="1:19">
      <c r="A13" s="26" t="s">
        <v>58</v>
      </c>
      <c r="B13" s="26" t="s">
        <v>24</v>
      </c>
      <c r="C13" s="26">
        <v>201620</v>
      </c>
      <c r="D13" s="26">
        <v>20888</v>
      </c>
      <c r="E13" s="26" t="s">
        <v>112</v>
      </c>
      <c r="F13" s="26" t="s">
        <v>151</v>
      </c>
      <c r="G13" s="26" t="s">
        <v>148</v>
      </c>
      <c r="H13" s="26" t="s">
        <v>174</v>
      </c>
      <c r="I13" s="26" t="s">
        <v>176</v>
      </c>
      <c r="J13" s="26">
        <v>7</v>
      </c>
      <c r="K13" s="26">
        <v>12</v>
      </c>
      <c r="L13" s="26">
        <v>13</v>
      </c>
      <c r="M13" s="32">
        <v>0.53846</v>
      </c>
      <c r="N13" s="32">
        <v>0.92308</v>
      </c>
      <c r="O13" s="26">
        <v>2.08</v>
      </c>
      <c r="P13" s="26">
        <v>3.375</v>
      </c>
      <c r="Q13" s="26">
        <v>0.2</v>
      </c>
      <c r="R13" s="26">
        <v>219.38</v>
      </c>
      <c r="S13" s="26">
        <v>1.35</v>
      </c>
    </row>
    <row r="14" spans="1:19">
      <c r="A14" s="30" t="s">
        <v>59</v>
      </c>
      <c r="B14" s="30" t="s">
        <v>28</v>
      </c>
      <c r="C14" s="30">
        <v>201720</v>
      </c>
      <c r="D14" s="30">
        <v>20888</v>
      </c>
      <c r="E14" s="30" t="s">
        <v>112</v>
      </c>
      <c r="F14" s="30" t="s">
        <v>151</v>
      </c>
      <c r="G14" s="30" t="s">
        <v>148</v>
      </c>
      <c r="H14" s="30" t="s">
        <v>174</v>
      </c>
      <c r="I14" s="30" t="s">
        <v>176</v>
      </c>
      <c r="J14" s="30">
        <v>7</v>
      </c>
      <c r="K14" s="30">
        <v>7</v>
      </c>
      <c r="L14" s="30">
        <v>10</v>
      </c>
      <c r="M14" s="31">
        <v>0.7</v>
      </c>
      <c r="N14" s="31">
        <v>0.7</v>
      </c>
      <c r="O14" s="30">
        <v>2.2</v>
      </c>
      <c r="P14" s="30">
        <v>3.375</v>
      </c>
      <c r="Q14" s="30">
        <v>0.2</v>
      </c>
      <c r="R14" s="30">
        <v>168.75</v>
      </c>
      <c r="S14" s="30">
        <v>1.04</v>
      </c>
    </row>
    <row r="15" spans="1:19">
      <c r="A15" s="26" t="s">
        <v>57</v>
      </c>
      <c r="B15" s="26" t="s">
        <v>20</v>
      </c>
      <c r="C15" s="26">
        <v>201520</v>
      </c>
      <c r="D15" s="26">
        <v>20398</v>
      </c>
      <c r="E15" s="26" t="s">
        <v>112</v>
      </c>
      <c r="F15" s="26" t="s">
        <v>152</v>
      </c>
      <c r="G15" s="26" t="s">
        <v>147</v>
      </c>
      <c r="H15" s="26" t="s">
        <v>174</v>
      </c>
      <c r="I15" s="26" t="s">
        <v>177</v>
      </c>
      <c r="J15" s="26">
        <v>8</v>
      </c>
      <c r="K15" s="26">
        <v>9</v>
      </c>
      <c r="L15" s="26">
        <v>13</v>
      </c>
      <c r="M15" s="32">
        <v>0.61538</v>
      </c>
      <c r="N15" s="32">
        <v>0.69231</v>
      </c>
      <c r="O15" s="26">
        <v>2.15</v>
      </c>
      <c r="P15" s="26">
        <v>3.375</v>
      </c>
      <c r="Q15" s="26">
        <v>0.2</v>
      </c>
      <c r="R15" s="26">
        <v>219.38</v>
      </c>
      <c r="S15" s="26">
        <v>1.19</v>
      </c>
    </row>
    <row r="16" spans="1:19">
      <c r="A16" s="30" t="s">
        <v>58</v>
      </c>
      <c r="B16" s="30" t="s">
        <v>24</v>
      </c>
      <c r="C16" s="30">
        <v>201620</v>
      </c>
      <c r="D16" s="30">
        <v>20889</v>
      </c>
      <c r="E16" s="30" t="s">
        <v>112</v>
      </c>
      <c r="F16" s="30" t="s">
        <v>152</v>
      </c>
      <c r="G16" s="30" t="s">
        <v>147</v>
      </c>
      <c r="H16" s="30" t="s">
        <v>174</v>
      </c>
      <c r="I16" s="30" t="s">
        <v>177</v>
      </c>
      <c r="J16" s="30">
        <v>3</v>
      </c>
      <c r="K16" s="30">
        <v>11</v>
      </c>
      <c r="L16" s="30">
        <v>17</v>
      </c>
      <c r="M16" s="31">
        <v>0.17647</v>
      </c>
      <c r="N16" s="31">
        <v>0.64706</v>
      </c>
      <c r="O16" s="30">
        <v>0.71</v>
      </c>
      <c r="P16" s="30">
        <v>3.375</v>
      </c>
      <c r="Q16" s="30">
        <v>0.2</v>
      </c>
      <c r="R16" s="30">
        <v>286.88</v>
      </c>
      <c r="S16" s="30">
        <v>1.55</v>
      </c>
    </row>
    <row r="17" spans="1:19">
      <c r="A17" s="26" t="s">
        <v>59</v>
      </c>
      <c r="B17" s="26" t="s">
        <v>28</v>
      </c>
      <c r="C17" s="26">
        <v>201720</v>
      </c>
      <c r="D17" s="26">
        <v>21117</v>
      </c>
      <c r="E17" s="26" t="s">
        <v>112</v>
      </c>
      <c r="F17" s="26" t="s">
        <v>152</v>
      </c>
      <c r="G17" s="26" t="s">
        <v>147</v>
      </c>
      <c r="H17" s="26" t="s">
        <v>174</v>
      </c>
      <c r="I17" s="26" t="s">
        <v>177</v>
      </c>
      <c r="J17" s="26">
        <v>6</v>
      </c>
      <c r="K17" s="26">
        <v>13</v>
      </c>
      <c r="L17" s="26">
        <v>14</v>
      </c>
      <c r="M17" s="32">
        <v>0.42857</v>
      </c>
      <c r="N17" s="32">
        <v>0.92857</v>
      </c>
      <c r="O17" s="26">
        <v>1.64</v>
      </c>
      <c r="P17" s="26">
        <v>3.375</v>
      </c>
      <c r="Q17" s="26">
        <v>0.2</v>
      </c>
      <c r="R17" s="26">
        <v>236.25</v>
      </c>
      <c r="S17" s="26">
        <v>1.28</v>
      </c>
    </row>
    <row r="18" spans="1:19">
      <c r="A18" s="30" t="s">
        <v>57</v>
      </c>
      <c r="B18" s="30" t="s">
        <v>18</v>
      </c>
      <c r="C18" s="30">
        <v>201510</v>
      </c>
      <c r="D18" s="30">
        <v>10642</v>
      </c>
      <c r="E18" s="30" t="s">
        <v>112</v>
      </c>
      <c r="F18" s="30" t="s">
        <v>153</v>
      </c>
      <c r="G18" s="30" t="s">
        <v>150</v>
      </c>
      <c r="H18" s="30" t="s">
        <v>174</v>
      </c>
      <c r="I18" s="30" t="s">
        <v>176</v>
      </c>
      <c r="J18" s="30">
        <v>11</v>
      </c>
      <c r="K18" s="30">
        <v>14</v>
      </c>
      <c r="L18" s="30">
        <v>15</v>
      </c>
      <c r="M18" s="31">
        <v>0.73333</v>
      </c>
      <c r="N18" s="31">
        <v>0.93333</v>
      </c>
      <c r="O18" s="30">
        <v>2.8</v>
      </c>
      <c r="P18" s="30">
        <v>3.375</v>
      </c>
      <c r="Q18" s="30">
        <v>0.2</v>
      </c>
      <c r="R18" s="30">
        <v>253.13</v>
      </c>
      <c r="S18" s="30">
        <v>1.55</v>
      </c>
    </row>
    <row r="19" spans="1:19">
      <c r="A19" s="26" t="s">
        <v>59</v>
      </c>
      <c r="B19" s="26" t="s">
        <v>26</v>
      </c>
      <c r="C19" s="26">
        <v>201710</v>
      </c>
      <c r="D19" s="26">
        <v>11124</v>
      </c>
      <c r="E19" s="26" t="s">
        <v>112</v>
      </c>
      <c r="F19" s="26" t="s">
        <v>153</v>
      </c>
      <c r="G19" s="26" t="s">
        <v>148</v>
      </c>
      <c r="H19" s="26" t="s">
        <v>174</v>
      </c>
      <c r="I19" s="26" t="s">
        <v>176</v>
      </c>
      <c r="J19" s="26">
        <v>7</v>
      </c>
      <c r="K19" s="26">
        <v>12</v>
      </c>
      <c r="L19" s="26">
        <v>13</v>
      </c>
      <c r="M19" s="32">
        <v>0.53846</v>
      </c>
      <c r="N19" s="32">
        <v>0.92308</v>
      </c>
      <c r="O19" s="26">
        <v>2.08</v>
      </c>
      <c r="P19" s="26">
        <v>3.375</v>
      </c>
      <c r="Q19" s="26">
        <v>0.2</v>
      </c>
      <c r="R19" s="26">
        <v>219.38</v>
      </c>
      <c r="S19" s="26">
        <v>1.35</v>
      </c>
    </row>
    <row r="20" spans="1:19">
      <c r="A20" s="30" t="s">
        <v>57</v>
      </c>
      <c r="B20" s="30" t="s">
        <v>18</v>
      </c>
      <c r="C20" s="30">
        <v>201510</v>
      </c>
      <c r="D20" s="30">
        <v>10643</v>
      </c>
      <c r="E20" s="30" t="s">
        <v>112</v>
      </c>
      <c r="F20" s="30" t="s">
        <v>154</v>
      </c>
      <c r="G20" s="30" t="s">
        <v>147</v>
      </c>
      <c r="H20" s="30" t="s">
        <v>174</v>
      </c>
      <c r="I20" s="30" t="s">
        <v>177</v>
      </c>
      <c r="J20" s="30">
        <v>6</v>
      </c>
      <c r="K20" s="30">
        <v>13</v>
      </c>
      <c r="L20" s="30">
        <v>16</v>
      </c>
      <c r="M20" s="31">
        <v>0.375</v>
      </c>
      <c r="N20" s="31">
        <v>0.8125</v>
      </c>
      <c r="O20" s="30">
        <v>1.19</v>
      </c>
      <c r="P20" s="30">
        <v>3.375</v>
      </c>
      <c r="Q20" s="30">
        <v>0.2</v>
      </c>
      <c r="R20" s="30">
        <v>270</v>
      </c>
      <c r="S20" s="30">
        <v>1.46</v>
      </c>
    </row>
    <row r="21" spans="1:19">
      <c r="A21" s="26" t="s">
        <v>58</v>
      </c>
      <c r="B21" s="26" t="s">
        <v>22</v>
      </c>
      <c r="C21" s="26">
        <v>201610</v>
      </c>
      <c r="D21" s="26">
        <v>10832</v>
      </c>
      <c r="E21" s="26" t="s">
        <v>112</v>
      </c>
      <c r="F21" s="26" t="s">
        <v>154</v>
      </c>
      <c r="G21" s="26" t="s">
        <v>147</v>
      </c>
      <c r="H21" s="26" t="s">
        <v>174</v>
      </c>
      <c r="I21" s="26" t="s">
        <v>177</v>
      </c>
      <c r="J21" s="26">
        <v>9</v>
      </c>
      <c r="K21" s="26">
        <v>12</v>
      </c>
      <c r="L21" s="26">
        <v>14</v>
      </c>
      <c r="M21" s="32">
        <v>0.64286</v>
      </c>
      <c r="N21" s="32">
        <v>0.85714</v>
      </c>
      <c r="O21" s="26">
        <v>1.79</v>
      </c>
      <c r="P21" s="26">
        <v>3.375</v>
      </c>
      <c r="Q21" s="26">
        <v>0.2</v>
      </c>
      <c r="R21" s="26">
        <v>236.25</v>
      </c>
      <c r="S21" s="26">
        <v>1.28</v>
      </c>
    </row>
    <row r="22" spans="1:19">
      <c r="A22" s="30" t="s">
        <v>59</v>
      </c>
      <c r="B22" s="30" t="s">
        <v>26</v>
      </c>
      <c r="C22" s="30">
        <v>201710</v>
      </c>
      <c r="D22" s="30">
        <v>10832</v>
      </c>
      <c r="E22" s="30" t="s">
        <v>112</v>
      </c>
      <c r="F22" s="30" t="s">
        <v>154</v>
      </c>
      <c r="G22" s="30" t="s">
        <v>147</v>
      </c>
      <c r="H22" s="30" t="s">
        <v>174</v>
      </c>
      <c r="I22" s="30" t="s">
        <v>177</v>
      </c>
      <c r="J22" s="30">
        <v>9</v>
      </c>
      <c r="K22" s="30">
        <v>9</v>
      </c>
      <c r="L22" s="30">
        <v>14</v>
      </c>
      <c r="M22" s="31">
        <v>0.64286</v>
      </c>
      <c r="N22" s="31">
        <v>0.64286</v>
      </c>
      <c r="O22" s="30">
        <v>2.5</v>
      </c>
      <c r="P22" s="30">
        <v>3.375</v>
      </c>
      <c r="Q22" s="30">
        <v>0.2</v>
      </c>
      <c r="R22" s="30">
        <v>236.25</v>
      </c>
      <c r="S22" s="30">
        <v>1.28</v>
      </c>
    </row>
    <row r="23" spans="1:19">
      <c r="A23" s="26" t="s">
        <v>57</v>
      </c>
      <c r="B23" s="26" t="s">
        <v>20</v>
      </c>
      <c r="C23" s="26">
        <v>201520</v>
      </c>
      <c r="D23" s="26">
        <v>20848</v>
      </c>
      <c r="E23" s="26" t="s">
        <v>112</v>
      </c>
      <c r="F23" s="26" t="s">
        <v>155</v>
      </c>
      <c r="G23" s="26" t="s">
        <v>148</v>
      </c>
      <c r="H23" s="26" t="s">
        <v>178</v>
      </c>
      <c r="I23" s="26" t="s">
        <v>179</v>
      </c>
      <c r="J23" s="26">
        <v>17</v>
      </c>
      <c r="K23" s="26">
        <v>19</v>
      </c>
      <c r="L23" s="26">
        <v>20</v>
      </c>
      <c r="M23" s="32">
        <v>0.85</v>
      </c>
      <c r="N23" s="32">
        <v>0.95</v>
      </c>
      <c r="O23" s="26">
        <v>2.45</v>
      </c>
      <c r="P23" s="26">
        <v>2.25</v>
      </c>
      <c r="Q23" s="26">
        <v>0.13</v>
      </c>
      <c r="R23" s="26">
        <v>346.15</v>
      </c>
      <c r="S23" s="26">
        <v>1.22</v>
      </c>
    </row>
    <row r="24" spans="1:19">
      <c r="A24" s="30" t="s">
        <v>57</v>
      </c>
      <c r="B24" s="30" t="s">
        <v>18</v>
      </c>
      <c r="C24" s="30">
        <v>201510</v>
      </c>
      <c r="D24" s="30">
        <v>10893</v>
      </c>
      <c r="E24" s="30" t="s">
        <v>112</v>
      </c>
      <c r="F24" s="30" t="s">
        <v>156</v>
      </c>
      <c r="G24" s="30" t="s">
        <v>150</v>
      </c>
      <c r="H24" s="30" t="s">
        <v>178</v>
      </c>
      <c r="I24" s="30" t="s">
        <v>180</v>
      </c>
      <c r="J24" s="30">
        <v>18</v>
      </c>
      <c r="K24" s="30">
        <v>22</v>
      </c>
      <c r="L24" s="30">
        <v>22</v>
      </c>
      <c r="M24" s="31">
        <v>0.81818</v>
      </c>
      <c r="N24" s="31">
        <v>1</v>
      </c>
      <c r="O24" s="30">
        <v>3.27</v>
      </c>
      <c r="P24" s="30">
        <v>1.125</v>
      </c>
      <c r="Q24" s="30">
        <v>0.16</v>
      </c>
      <c r="R24" s="30">
        <v>154.69</v>
      </c>
      <c r="S24" s="30">
        <v>0.73</v>
      </c>
    </row>
    <row r="25" spans="1:19">
      <c r="A25" s="26" t="s">
        <v>57</v>
      </c>
      <c r="B25" s="26" t="s">
        <v>20</v>
      </c>
      <c r="C25" s="26">
        <v>201520</v>
      </c>
      <c r="D25" s="26">
        <v>20849</v>
      </c>
      <c r="E25" s="26" t="s">
        <v>112</v>
      </c>
      <c r="F25" s="26" t="s">
        <v>157</v>
      </c>
      <c r="G25" s="26" t="s">
        <v>148</v>
      </c>
      <c r="H25" s="26" t="s">
        <v>178</v>
      </c>
      <c r="I25" s="26" t="s">
        <v>180</v>
      </c>
      <c r="J25" s="26">
        <v>18</v>
      </c>
      <c r="K25" s="26">
        <v>20</v>
      </c>
      <c r="L25" s="26">
        <v>20</v>
      </c>
      <c r="M25" s="32">
        <v>0.9</v>
      </c>
      <c r="N25" s="32">
        <v>1</v>
      </c>
      <c r="O25" s="26">
        <v>3.45</v>
      </c>
      <c r="P25" s="26">
        <v>1.125</v>
      </c>
      <c r="Q25" s="26">
        <v>0.07</v>
      </c>
      <c r="R25" s="26">
        <v>321.43</v>
      </c>
      <c r="S25" s="26">
        <v>0.55</v>
      </c>
    </row>
    <row r="26" spans="1:19">
      <c r="A26" s="30" t="s">
        <v>57</v>
      </c>
      <c r="B26" s="30" t="s">
        <v>18</v>
      </c>
      <c r="C26" s="30">
        <v>201510</v>
      </c>
      <c r="D26" s="30">
        <v>10894</v>
      </c>
      <c r="E26" s="30" t="s">
        <v>112</v>
      </c>
      <c r="F26" s="30" t="s">
        <v>158</v>
      </c>
      <c r="G26" s="30" t="s">
        <v>150</v>
      </c>
      <c r="H26" s="30" t="s">
        <v>178</v>
      </c>
      <c r="I26" s="30" t="s">
        <v>175</v>
      </c>
      <c r="J26" s="30">
        <v>15</v>
      </c>
      <c r="K26" s="30">
        <v>22</v>
      </c>
      <c r="L26" s="30">
        <v>22</v>
      </c>
      <c r="M26" s="31">
        <v>0.68182</v>
      </c>
      <c r="N26" s="31">
        <v>1</v>
      </c>
      <c r="O26" s="30">
        <v>2.73</v>
      </c>
      <c r="P26" s="30">
        <v>0.563</v>
      </c>
      <c r="Q26" s="30">
        <v>0.03</v>
      </c>
      <c r="R26" s="30">
        <v>412.5</v>
      </c>
      <c r="S26" s="30">
        <v>0.26</v>
      </c>
    </row>
    <row r="27" spans="1:19">
      <c r="A27" s="26" t="s">
        <v>57</v>
      </c>
      <c r="B27" s="26" t="s">
        <v>18</v>
      </c>
      <c r="C27" s="26">
        <v>201510</v>
      </c>
      <c r="D27" s="26">
        <v>10892</v>
      </c>
      <c r="E27" s="26" t="s">
        <v>112</v>
      </c>
      <c r="F27" s="26" t="s">
        <v>159</v>
      </c>
      <c r="G27" s="26" t="s">
        <v>148</v>
      </c>
      <c r="H27" s="26" t="s">
        <v>178</v>
      </c>
      <c r="I27" s="26" t="s">
        <v>177</v>
      </c>
      <c r="J27" s="26">
        <v>17</v>
      </c>
      <c r="K27" s="26">
        <v>19</v>
      </c>
      <c r="L27" s="26">
        <v>19</v>
      </c>
      <c r="M27" s="32">
        <v>0.89474</v>
      </c>
      <c r="N27" s="32">
        <v>1</v>
      </c>
      <c r="O27" s="26">
        <v>2.53</v>
      </c>
      <c r="P27" s="26">
        <v>8.1</v>
      </c>
      <c r="Q27" s="26">
        <v>1.07</v>
      </c>
      <c r="R27" s="26">
        <v>143.83</v>
      </c>
      <c r="S27" s="26">
        <v>4.68</v>
      </c>
    </row>
    <row r="28" spans="1:19">
      <c r="A28" s="30" t="s">
        <v>57</v>
      </c>
      <c r="B28" s="30" t="s">
        <v>20</v>
      </c>
      <c r="C28" s="30">
        <v>201520</v>
      </c>
      <c r="D28" s="30">
        <v>20847</v>
      </c>
      <c r="E28" s="30" t="s">
        <v>112</v>
      </c>
      <c r="F28" s="30" t="s">
        <v>160</v>
      </c>
      <c r="G28" s="30" t="s">
        <v>148</v>
      </c>
      <c r="H28" s="30" t="s">
        <v>178</v>
      </c>
      <c r="I28" s="30" t="s">
        <v>177</v>
      </c>
      <c r="J28" s="30">
        <v>16</v>
      </c>
      <c r="K28" s="30">
        <v>16</v>
      </c>
      <c r="L28" s="30">
        <v>16</v>
      </c>
      <c r="M28" s="31">
        <v>1</v>
      </c>
      <c r="N28" s="31">
        <v>1</v>
      </c>
      <c r="O28" s="30">
        <v>3.38</v>
      </c>
      <c r="P28" s="30">
        <v>7.763</v>
      </c>
      <c r="Q28" s="30">
        <v>1.13</v>
      </c>
      <c r="R28" s="30">
        <v>109.91</v>
      </c>
      <c r="S28" s="30">
        <v>3.63</v>
      </c>
    </row>
    <row r="29" spans="1:19">
      <c r="A29" s="26" t="s">
        <v>58</v>
      </c>
      <c r="B29" s="26" t="s">
        <v>22</v>
      </c>
      <c r="C29" s="26">
        <v>201610</v>
      </c>
      <c r="D29" s="26">
        <v>10872</v>
      </c>
      <c r="E29" s="26" t="s">
        <v>112</v>
      </c>
      <c r="F29" s="26" t="s">
        <v>161</v>
      </c>
      <c r="G29" s="26" t="s">
        <v>150</v>
      </c>
      <c r="H29" s="26" t="s">
        <v>174</v>
      </c>
      <c r="I29" s="26" t="s">
        <v>181</v>
      </c>
      <c r="J29" s="26">
        <v>22</v>
      </c>
      <c r="K29" s="26">
        <v>23</v>
      </c>
      <c r="L29" s="26">
        <v>26</v>
      </c>
      <c r="M29" s="32">
        <v>0.84615</v>
      </c>
      <c r="N29" s="32">
        <v>0.88462</v>
      </c>
      <c r="O29" s="26">
        <v>2.12</v>
      </c>
      <c r="P29" s="26">
        <v>12.938</v>
      </c>
      <c r="Q29" s="26">
        <v>0.77</v>
      </c>
      <c r="R29" s="26">
        <v>436.85</v>
      </c>
      <c r="S29" s="26">
        <v>10.38</v>
      </c>
    </row>
    <row r="30" spans="1:19">
      <c r="A30" s="30" t="s">
        <v>59</v>
      </c>
      <c r="B30" s="30" t="s">
        <v>26</v>
      </c>
      <c r="C30" s="30">
        <v>201710</v>
      </c>
      <c r="D30" s="30">
        <v>10872</v>
      </c>
      <c r="E30" s="30" t="s">
        <v>112</v>
      </c>
      <c r="F30" s="30" t="s">
        <v>161</v>
      </c>
      <c r="G30" s="30" t="s">
        <v>148</v>
      </c>
      <c r="H30" s="30" t="s">
        <v>174</v>
      </c>
      <c r="I30" s="30" t="s">
        <v>177</v>
      </c>
      <c r="J30" s="30">
        <v>18</v>
      </c>
      <c r="K30" s="30">
        <v>26</v>
      </c>
      <c r="L30" s="30">
        <v>29</v>
      </c>
      <c r="M30" s="31">
        <v>0.62069</v>
      </c>
      <c r="N30" s="31">
        <v>0.89655</v>
      </c>
      <c r="O30" s="30">
        <v>1.86</v>
      </c>
      <c r="P30" s="30">
        <v>12.938</v>
      </c>
      <c r="Q30" s="30">
        <v>0.77</v>
      </c>
      <c r="R30" s="30">
        <v>487.26</v>
      </c>
      <c r="S30" s="30">
        <v>11.58</v>
      </c>
    </row>
    <row r="31" spans="1:19">
      <c r="A31" s="26" t="s">
        <v>58</v>
      </c>
      <c r="B31" s="26" t="s">
        <v>24</v>
      </c>
      <c r="C31" s="26">
        <v>201620</v>
      </c>
      <c r="D31" s="26">
        <v>20996</v>
      </c>
      <c r="E31" s="26" t="s">
        <v>112</v>
      </c>
      <c r="F31" s="26" t="s">
        <v>162</v>
      </c>
      <c r="G31" s="26" t="s">
        <v>148</v>
      </c>
      <c r="H31" s="26" t="s">
        <v>174</v>
      </c>
      <c r="I31" s="26" t="s">
        <v>177</v>
      </c>
      <c r="J31" s="26">
        <v>15</v>
      </c>
      <c r="K31" s="26">
        <v>16</v>
      </c>
      <c r="L31" s="26">
        <v>17</v>
      </c>
      <c r="M31" s="32">
        <v>0.88235</v>
      </c>
      <c r="N31" s="32">
        <v>0.94118</v>
      </c>
      <c r="O31" s="26">
        <v>3.12</v>
      </c>
      <c r="P31" s="26">
        <v>18</v>
      </c>
      <c r="Q31" s="26">
        <v>2.26</v>
      </c>
      <c r="R31" s="26">
        <v>135.4</v>
      </c>
      <c r="S31" s="26">
        <v>9.38</v>
      </c>
    </row>
    <row r="32" spans="1:19">
      <c r="A32" s="30" t="s">
        <v>59</v>
      </c>
      <c r="B32" s="30" t="s">
        <v>28</v>
      </c>
      <c r="C32" s="30">
        <v>201720</v>
      </c>
      <c r="D32" s="30">
        <v>21000</v>
      </c>
      <c r="E32" s="30" t="s">
        <v>112</v>
      </c>
      <c r="F32" s="30" t="s">
        <v>162</v>
      </c>
      <c r="G32" s="30" t="s">
        <v>148</v>
      </c>
      <c r="H32" s="30" t="s">
        <v>174</v>
      </c>
      <c r="I32" s="30" t="s">
        <v>177</v>
      </c>
      <c r="J32" s="30">
        <v>13</v>
      </c>
      <c r="K32" s="30">
        <v>15</v>
      </c>
      <c r="L32" s="30">
        <v>15</v>
      </c>
      <c r="M32" s="31">
        <v>0.86667</v>
      </c>
      <c r="N32" s="31">
        <v>1</v>
      </c>
      <c r="O32" s="30">
        <v>3.4</v>
      </c>
      <c r="P32" s="30">
        <v>18</v>
      </c>
      <c r="Q32" s="30">
        <v>1.9</v>
      </c>
      <c r="R32" s="30">
        <v>142.11</v>
      </c>
      <c r="S32" s="30">
        <v>8.46</v>
      </c>
    </row>
    <row r="33" spans="1:19">
      <c r="A33" s="26" t="s">
        <v>58</v>
      </c>
      <c r="B33" s="26" t="s">
        <v>25</v>
      </c>
      <c r="C33" s="26">
        <v>201630</v>
      </c>
      <c r="D33" s="26">
        <v>30174</v>
      </c>
      <c r="E33" s="26" t="s">
        <v>112</v>
      </c>
      <c r="F33" s="26" t="s">
        <v>163</v>
      </c>
      <c r="G33" s="26" t="s">
        <v>150</v>
      </c>
      <c r="H33" s="26" t="s">
        <v>174</v>
      </c>
      <c r="I33" s="26" t="s">
        <v>177</v>
      </c>
      <c r="J33" s="26">
        <v>15</v>
      </c>
      <c r="K33" s="26">
        <v>15</v>
      </c>
      <c r="L33" s="26">
        <v>15</v>
      </c>
      <c r="M33" s="32">
        <v>1</v>
      </c>
      <c r="N33" s="32">
        <v>1</v>
      </c>
      <c r="O33" s="26">
        <v>4</v>
      </c>
      <c r="P33" s="26">
        <v>5.344</v>
      </c>
      <c r="Q33" s="26">
        <v>0.32</v>
      </c>
      <c r="R33" s="26">
        <v>250.49</v>
      </c>
      <c r="S33" s="26">
        <v>2.49</v>
      </c>
    </row>
    <row r="34" spans="1:19">
      <c r="A34" s="30" t="s">
        <v>59</v>
      </c>
      <c r="B34" s="30" t="s">
        <v>29</v>
      </c>
      <c r="C34" s="30">
        <v>201730</v>
      </c>
      <c r="D34" s="30">
        <v>30183</v>
      </c>
      <c r="E34" s="30" t="s">
        <v>112</v>
      </c>
      <c r="F34" s="30" t="s">
        <v>163</v>
      </c>
      <c r="G34" s="30" t="s">
        <v>150</v>
      </c>
      <c r="H34" s="30" t="s">
        <v>178</v>
      </c>
      <c r="I34" s="30" t="s">
        <v>177</v>
      </c>
      <c r="J34" s="30">
        <v>13</v>
      </c>
      <c r="K34" s="30">
        <v>13</v>
      </c>
      <c r="L34" s="30">
        <v>13</v>
      </c>
      <c r="M34" s="31">
        <v>1</v>
      </c>
      <c r="N34" s="31">
        <v>1</v>
      </c>
      <c r="O34" s="30">
        <v>4</v>
      </c>
      <c r="P34" s="30">
        <v>5.344</v>
      </c>
      <c r="Q34" s="30">
        <v>0.38</v>
      </c>
      <c r="R34" s="30">
        <v>182.81</v>
      </c>
      <c r="S34" s="30">
        <v>2.16</v>
      </c>
    </row>
    <row r="35" spans="1:19">
      <c r="A35" s="26" t="s">
        <v>59</v>
      </c>
      <c r="B35" s="26" t="s">
        <v>26</v>
      </c>
      <c r="C35" s="26">
        <v>201710</v>
      </c>
      <c r="D35" s="26">
        <v>11133</v>
      </c>
      <c r="E35" s="26" t="s">
        <v>112</v>
      </c>
      <c r="F35" s="26" t="s">
        <v>164</v>
      </c>
      <c r="G35" s="26" t="s">
        <v>150</v>
      </c>
      <c r="H35" s="26" t="s">
        <v>178</v>
      </c>
      <c r="I35" s="26" t="s">
        <v>175</v>
      </c>
      <c r="J35" s="26">
        <v>25</v>
      </c>
      <c r="K35" s="26">
        <v>25</v>
      </c>
      <c r="L35" s="26">
        <v>25</v>
      </c>
      <c r="M35" s="32">
        <v>1</v>
      </c>
      <c r="N35" s="32">
        <v>1</v>
      </c>
      <c r="O35" s="26">
        <v>3.68</v>
      </c>
      <c r="P35" s="26">
        <v>2.813</v>
      </c>
      <c r="Q35" s="26">
        <v>0.27</v>
      </c>
      <c r="R35" s="26">
        <v>260.42</v>
      </c>
      <c r="S35" s="26">
        <v>2.14</v>
      </c>
    </row>
    <row r="36" spans="1:19">
      <c r="A36" s="30" t="s">
        <v>59</v>
      </c>
      <c r="B36" s="30" t="s">
        <v>26</v>
      </c>
      <c r="C36" s="30">
        <v>201710</v>
      </c>
      <c r="D36" s="30">
        <v>11134</v>
      </c>
      <c r="E36" s="30" t="s">
        <v>112</v>
      </c>
      <c r="F36" s="30" t="s">
        <v>165</v>
      </c>
      <c r="G36" s="30" t="s">
        <v>150</v>
      </c>
      <c r="H36" s="30" t="s">
        <v>178</v>
      </c>
      <c r="I36" s="30" t="s">
        <v>177</v>
      </c>
      <c r="J36" s="30">
        <v>21</v>
      </c>
      <c r="K36" s="30">
        <v>21</v>
      </c>
      <c r="L36" s="30">
        <v>21</v>
      </c>
      <c r="M36" s="31">
        <v>1</v>
      </c>
      <c r="N36" s="31">
        <v>1</v>
      </c>
      <c r="O36" s="30">
        <v>4</v>
      </c>
      <c r="P36" s="30">
        <v>2.813</v>
      </c>
      <c r="Q36" s="30">
        <v>0.27</v>
      </c>
      <c r="R36" s="30">
        <v>218.75</v>
      </c>
      <c r="S36" s="30">
        <v>1.8</v>
      </c>
    </row>
    <row r="37" spans="1:19">
      <c r="A37" s="26" t="s">
        <v>57</v>
      </c>
      <c r="B37" s="26" t="s">
        <v>21</v>
      </c>
      <c r="C37" s="26">
        <v>201530</v>
      </c>
      <c r="D37" s="26">
        <v>30180</v>
      </c>
      <c r="E37" s="26" t="s">
        <v>112</v>
      </c>
      <c r="F37" s="26" t="s">
        <v>166</v>
      </c>
      <c r="G37" s="26" t="s">
        <v>150</v>
      </c>
      <c r="H37" s="26" t="s">
        <v>178</v>
      </c>
      <c r="I37" s="26" t="s">
        <v>175</v>
      </c>
      <c r="J37" s="26">
        <v>13</v>
      </c>
      <c r="K37" s="26">
        <v>14</v>
      </c>
      <c r="L37" s="26">
        <v>14</v>
      </c>
      <c r="M37" s="32">
        <v>0.92857</v>
      </c>
      <c r="N37" s="32">
        <v>1</v>
      </c>
      <c r="O37" s="26">
        <v>3.71</v>
      </c>
      <c r="P37" s="26">
        <v>2.813</v>
      </c>
      <c r="Q37" s="26">
        <v>0.17</v>
      </c>
      <c r="R37" s="26">
        <v>231.62</v>
      </c>
      <c r="S37" s="26">
        <v>1.2</v>
      </c>
    </row>
    <row r="38" spans="1:19">
      <c r="A38" s="30" t="s">
        <v>57</v>
      </c>
      <c r="B38" s="30" t="s">
        <v>19</v>
      </c>
      <c r="C38" s="30">
        <v>201515</v>
      </c>
      <c r="D38" s="30">
        <v>15043</v>
      </c>
      <c r="E38" s="30" t="s">
        <v>112</v>
      </c>
      <c r="F38" s="30" t="s">
        <v>167</v>
      </c>
      <c r="G38" s="30" t="s">
        <v>150</v>
      </c>
      <c r="H38" s="30" t="s">
        <v>174</v>
      </c>
      <c r="I38" s="30" t="s">
        <v>176</v>
      </c>
      <c r="J38" s="30">
        <v>9</v>
      </c>
      <c r="K38" s="30">
        <v>11</v>
      </c>
      <c r="L38" s="30">
        <v>12</v>
      </c>
      <c r="M38" s="31">
        <v>0.75</v>
      </c>
      <c r="N38" s="31">
        <v>0.91667</v>
      </c>
      <c r="O38" s="30">
        <v>2.92</v>
      </c>
      <c r="P38" s="30">
        <v>2.813</v>
      </c>
      <c r="Q38" s="30">
        <v>0.17</v>
      </c>
      <c r="R38" s="30">
        <v>198.53</v>
      </c>
      <c r="S38" s="30">
        <v>1.04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38"/>
  <mergeCells>
    <mergeCell ref="A1:S1"/>
    <mergeCell ref="A2:S2"/>
    <mergeCell ref="A3:S3"/>
  </mergeCells>
  <conditionalFormatting sqref="M6:M38">
    <cfRule type="cellIs" dxfId="0" priority="1" operator="lessThan">
      <formula>0.7</formula>
    </cfRule>
  </conditionalFormatting>
  <conditionalFormatting sqref="N6:N38">
    <cfRule type="cellIs" dxfId="1" priority="2" operator="lessThan">
      <formula>0.86</formula>
    </cfRule>
  </conditionalFormatting>
  <conditionalFormatting sqref="R6:R38">
    <cfRule type="cellIs" dxfId="2" priority="3" operator="lessThan">
      <formula>565</formula>
    </cfRule>
  </conditionalFormatting>
  <conditionalFormatting sqref="R6:R38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FIRE&amp;RPrinted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G. DEGREES &amp; CERTS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2017-08-11T23:46:33+02:00</dcterms:created>
  <dcterms:modified xsi:type="dcterms:W3CDTF">2017-08-11T23:46:33+02:00</dcterms:modified>
  <dc:title>2017-2018 IVC Research Report for FIRE</dc:title>
  <dc:description>FIRE Specific Report Generated from Banner Data.</dc:description>
  <dc:subject>2017-2018 IVC Research Report for FIRE</dc:subject>
  <cp:keywords/>
  <cp:category/>
</cp:coreProperties>
</file>