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iver.zambrano\Desktop\"/>
    </mc:Choice>
  </mc:AlternateContent>
  <bookViews>
    <workbookView xWindow="0" yWindow="0" windowWidth="28800" windowHeight="12030"/>
  </bookViews>
  <sheets>
    <sheet name="COVER PAGE" sheetId="1" r:id="rId1"/>
    <sheet name="A. ENRL &amp; FILL RATES" sheetId="2" r:id="rId2"/>
    <sheet name="B. PRODUCTIVITY" sheetId="3" r:id="rId3"/>
    <sheet name="C. SUCCESS &amp; RETENTION" sheetId="4" r:id="rId4"/>
    <sheet name="D. SUCC &amp; RET BY ETHN" sheetId="5" r:id="rId5"/>
    <sheet name="E. SUCC &amp; RET BY AGE" sheetId="6" r:id="rId6"/>
    <sheet name="F. SUCC &amp; RET BY GENDER" sheetId="7" r:id="rId7"/>
    <sheet name="G. DEGREES &amp; CERTS" sheetId="8" r:id="rId8"/>
    <sheet name="H. COURSE DATA" sheetId="9" r:id="rId9"/>
    <sheet name="I. SECTION DATA" sheetId="10" r:id="rId10"/>
    <sheet name="Worksheet" sheetId="11" r:id="rId11"/>
  </sheets>
  <definedNames>
    <definedName name="_xlnm._FilterDatabase" localSheetId="8" hidden="1">'H. COURSE DATA'!$A$5:$T$20</definedName>
    <definedName name="_xlnm._FilterDatabase" localSheetId="9" hidden="1">'I. SECTION DATA'!$A$5:$S$79</definedName>
    <definedName name="course_data">'H. COURSE DATA'!$A$5:$T$20</definedName>
    <definedName name="_xlnm.Print_Titles" localSheetId="8">'H. COURSE DATA'!$5:$5</definedName>
    <definedName name="_xlnm.Print_Titles" localSheetId="9">'I. SECTION DATA'!$5:$5</definedName>
  </definedNames>
  <calcPr calcId="162913"/>
</workbook>
</file>

<file path=xl/calcChain.xml><?xml version="1.0" encoding="utf-8"?>
<calcChain xmlns="http://schemas.openxmlformats.org/spreadsheetml/2006/main">
  <c r="F10" i="8" l="1"/>
  <c r="H23" i="7"/>
  <c r="J23" i="7" s="1"/>
  <c r="G23" i="7"/>
  <c r="E23" i="7"/>
  <c r="F23" i="7" s="1"/>
  <c r="D23" i="7"/>
  <c r="C23" i="7"/>
  <c r="B23" i="7"/>
  <c r="I18" i="7"/>
  <c r="H18" i="7"/>
  <c r="J18" i="7" s="1"/>
  <c r="E18" i="7"/>
  <c r="G18" i="7" s="1"/>
  <c r="D18" i="7"/>
  <c r="B18" i="7"/>
  <c r="C18" i="7" s="1"/>
  <c r="V23" i="6"/>
  <c r="U23" i="6"/>
  <c r="T23" i="6"/>
  <c r="R23" i="6"/>
  <c r="Q23" i="6"/>
  <c r="S23" i="6" s="1"/>
  <c r="N23" i="6"/>
  <c r="P23" i="6" s="1"/>
  <c r="M23" i="6"/>
  <c r="K23" i="6"/>
  <c r="L23" i="6" s="1"/>
  <c r="J23" i="6"/>
  <c r="I23" i="6"/>
  <c r="H23" i="6"/>
  <c r="F23" i="6"/>
  <c r="E23" i="6"/>
  <c r="G23" i="6" s="1"/>
  <c r="B23" i="6"/>
  <c r="D23" i="6" s="1"/>
  <c r="V18" i="6"/>
  <c r="T18" i="6"/>
  <c r="U18" i="6" s="1"/>
  <c r="S18" i="6"/>
  <c r="R18" i="6"/>
  <c r="Q18" i="6"/>
  <c r="O18" i="6"/>
  <c r="N18" i="6"/>
  <c r="P18" i="6" s="1"/>
  <c r="K18" i="6"/>
  <c r="M18" i="6" s="1"/>
  <c r="J18" i="6"/>
  <c r="H18" i="6"/>
  <c r="I18" i="6" s="1"/>
  <c r="G18" i="6"/>
  <c r="F18" i="6"/>
  <c r="E18" i="6"/>
  <c r="C18" i="6"/>
  <c r="B18" i="6"/>
  <c r="D18" i="6" s="1"/>
  <c r="N23" i="5"/>
  <c r="P23" i="5" s="1"/>
  <c r="M23" i="5"/>
  <c r="K23" i="5"/>
  <c r="L23" i="5" s="1"/>
  <c r="J23" i="5"/>
  <c r="I23" i="5"/>
  <c r="H23" i="5"/>
  <c r="F23" i="5"/>
  <c r="E23" i="5"/>
  <c r="G23" i="5" s="1"/>
  <c r="B23" i="5"/>
  <c r="D23" i="5" s="1"/>
  <c r="P18" i="5"/>
  <c r="N18" i="5"/>
  <c r="O18" i="5" s="1"/>
  <c r="M18" i="5"/>
  <c r="L18" i="5"/>
  <c r="K18" i="5"/>
  <c r="I18" i="5"/>
  <c r="H18" i="5"/>
  <c r="J18" i="5" s="1"/>
  <c r="E18" i="5"/>
  <c r="G18" i="5" s="1"/>
  <c r="D18" i="5"/>
  <c r="B18" i="5"/>
  <c r="C18" i="5" s="1"/>
  <c r="H24" i="4"/>
  <c r="J24" i="4" s="1"/>
  <c r="E24" i="4"/>
  <c r="F24" i="4" s="1"/>
  <c r="D24" i="4"/>
  <c r="B24" i="4"/>
  <c r="C24" i="4" s="1"/>
  <c r="J23" i="4"/>
  <c r="I23" i="4"/>
  <c r="H23" i="4"/>
  <c r="E23" i="4"/>
  <c r="G23" i="4" s="1"/>
  <c r="B23" i="4"/>
  <c r="C23" i="4" s="1"/>
  <c r="J22" i="4"/>
  <c r="H22" i="4"/>
  <c r="H25" i="4" s="1"/>
  <c r="F22" i="4"/>
  <c r="E22" i="4"/>
  <c r="E25" i="4" s="1"/>
  <c r="B22" i="4"/>
  <c r="D22" i="4" s="1"/>
  <c r="H17" i="4"/>
  <c r="J17" i="4" s="1"/>
  <c r="E17" i="4"/>
  <c r="F17" i="4" s="1"/>
  <c r="B17" i="4"/>
  <c r="D17" i="4" s="1"/>
  <c r="J16" i="4"/>
  <c r="H16" i="4"/>
  <c r="I16" i="4" s="1"/>
  <c r="G16" i="4"/>
  <c r="E16" i="4"/>
  <c r="F16" i="4" s="1"/>
  <c r="C16" i="4"/>
  <c r="B16" i="4"/>
  <c r="D16" i="4" s="1"/>
  <c r="H15" i="4"/>
  <c r="J15" i="4" s="1"/>
  <c r="G15" i="4"/>
  <c r="F15" i="4"/>
  <c r="E15" i="4"/>
  <c r="D15" i="4"/>
  <c r="C15" i="4"/>
  <c r="B15" i="4"/>
  <c r="I14" i="4"/>
  <c r="H14" i="4"/>
  <c r="J14" i="4" s="1"/>
  <c r="E14" i="4"/>
  <c r="G14" i="4" s="1"/>
  <c r="D14" i="4"/>
  <c r="C14" i="4"/>
  <c r="B14" i="4"/>
  <c r="J13" i="4"/>
  <c r="I13" i="4"/>
  <c r="H13" i="4"/>
  <c r="F13" i="4"/>
  <c r="E13" i="4"/>
  <c r="G13" i="4" s="1"/>
  <c r="B13" i="4"/>
  <c r="D13" i="4" s="1"/>
  <c r="J12" i="4"/>
  <c r="I12" i="4"/>
  <c r="H12" i="4"/>
  <c r="G12" i="4"/>
  <c r="F12" i="4"/>
  <c r="E12" i="4"/>
  <c r="C12" i="4"/>
  <c r="B12" i="4"/>
  <c r="D12" i="4" s="1"/>
  <c r="H11" i="4"/>
  <c r="J11" i="4" s="1"/>
  <c r="G11" i="4"/>
  <c r="F11" i="4"/>
  <c r="E11" i="4"/>
  <c r="D11" i="4"/>
  <c r="C11" i="4"/>
  <c r="B11" i="4"/>
  <c r="I10" i="4"/>
  <c r="H10" i="4"/>
  <c r="J10" i="4" s="1"/>
  <c r="E10" i="4"/>
  <c r="G10" i="4" s="1"/>
  <c r="D10" i="4"/>
  <c r="C10" i="4"/>
  <c r="B10" i="4"/>
  <c r="J9" i="4"/>
  <c r="I9" i="4"/>
  <c r="H9" i="4"/>
  <c r="F9" i="4"/>
  <c r="E9" i="4"/>
  <c r="G9" i="4" s="1"/>
  <c r="B9" i="4"/>
  <c r="D9" i="4" s="1"/>
  <c r="J8" i="4"/>
  <c r="I8" i="4"/>
  <c r="H8" i="4"/>
  <c r="G8" i="4"/>
  <c r="F8" i="4"/>
  <c r="E8" i="4"/>
  <c r="C8" i="4"/>
  <c r="B8" i="4"/>
  <c r="D8" i="4" s="1"/>
  <c r="H7" i="4"/>
  <c r="J7" i="4" s="1"/>
  <c r="G7" i="4"/>
  <c r="F7" i="4"/>
  <c r="E7" i="4"/>
  <c r="D7" i="4"/>
  <c r="C7" i="4"/>
  <c r="B7" i="4"/>
  <c r="I6" i="4"/>
  <c r="H6" i="4"/>
  <c r="H18" i="4" s="1"/>
  <c r="E6" i="4"/>
  <c r="E18" i="4" s="1"/>
  <c r="D6" i="4"/>
  <c r="C6" i="4"/>
  <c r="B6" i="4"/>
  <c r="B18" i="4" s="1"/>
  <c r="D22" i="3"/>
  <c r="C22" i="3"/>
  <c r="B22" i="3"/>
  <c r="C21" i="3"/>
  <c r="B21" i="3"/>
  <c r="D21" i="3" s="1"/>
  <c r="C20" i="3"/>
  <c r="B20" i="3"/>
  <c r="D20" i="3" s="1"/>
  <c r="D16" i="3"/>
  <c r="C16" i="3"/>
  <c r="B16" i="3"/>
  <c r="C15" i="3"/>
  <c r="D15" i="3" s="1"/>
  <c r="B15" i="3"/>
  <c r="C14" i="3"/>
  <c r="B14" i="3"/>
  <c r="D14" i="3" s="1"/>
  <c r="C13" i="3"/>
  <c r="B13" i="3"/>
  <c r="D13" i="3" s="1"/>
  <c r="D12" i="3"/>
  <c r="C12" i="3"/>
  <c r="B12" i="3"/>
  <c r="D11" i="3"/>
  <c r="C11" i="3"/>
  <c r="B11" i="3"/>
  <c r="C10" i="3"/>
  <c r="B10" i="3"/>
  <c r="D10" i="3" s="1"/>
  <c r="C9" i="3"/>
  <c r="B9" i="3"/>
  <c r="D9" i="3" s="1"/>
  <c r="D8" i="3"/>
  <c r="C8" i="3"/>
  <c r="B8" i="3"/>
  <c r="D7" i="3"/>
  <c r="C7" i="3"/>
  <c r="B7" i="3"/>
  <c r="C6" i="3"/>
  <c r="B6" i="3"/>
  <c r="D6" i="3" s="1"/>
  <c r="C5" i="3"/>
  <c r="B5" i="3"/>
  <c r="D5" i="3" s="1"/>
  <c r="M25" i="2"/>
  <c r="K25" i="2" s="1"/>
  <c r="L25" i="2"/>
  <c r="J25" i="2"/>
  <c r="I25" i="2"/>
  <c r="G25" i="2" s="1"/>
  <c r="H25" i="2"/>
  <c r="F25" i="2"/>
  <c r="E25" i="2"/>
  <c r="C25" i="2" s="1"/>
  <c r="D25" i="2"/>
  <c r="B25" i="2"/>
  <c r="K24" i="2"/>
  <c r="G24" i="2"/>
  <c r="C24" i="2"/>
  <c r="K23" i="2"/>
  <c r="G23" i="2"/>
  <c r="C23" i="2"/>
  <c r="K22" i="2"/>
  <c r="G22" i="2"/>
  <c r="C22" i="2"/>
  <c r="M18" i="2"/>
  <c r="L18" i="2"/>
  <c r="K18" i="2"/>
  <c r="J18" i="2"/>
  <c r="I18" i="2"/>
  <c r="H18" i="2"/>
  <c r="G18" i="2"/>
  <c r="F18" i="2"/>
  <c r="E18" i="2"/>
  <c r="D18" i="2"/>
  <c r="C18" i="2"/>
  <c r="B18" i="2"/>
  <c r="K17" i="2"/>
  <c r="G17" i="2"/>
  <c r="C17" i="2"/>
  <c r="K16" i="2"/>
  <c r="G16" i="2"/>
  <c r="C16" i="2"/>
  <c r="K15" i="2"/>
  <c r="G15" i="2"/>
  <c r="C15" i="2"/>
  <c r="K14" i="2"/>
  <c r="G14" i="2"/>
  <c r="C14" i="2"/>
  <c r="K13" i="2"/>
  <c r="G13" i="2"/>
  <c r="C13" i="2"/>
  <c r="K12" i="2"/>
  <c r="G12" i="2"/>
  <c r="C12" i="2"/>
  <c r="K11" i="2"/>
  <c r="G11" i="2"/>
  <c r="C11" i="2"/>
  <c r="K10" i="2"/>
  <c r="G10" i="2"/>
  <c r="C10" i="2"/>
  <c r="K9" i="2"/>
  <c r="G9" i="2"/>
  <c r="C9" i="2"/>
  <c r="K8" i="2"/>
  <c r="G8" i="2"/>
  <c r="C8" i="2"/>
  <c r="K7" i="2"/>
  <c r="G7" i="2"/>
  <c r="C7" i="2"/>
  <c r="K6" i="2"/>
  <c r="G6" i="2"/>
  <c r="C6" i="2"/>
  <c r="I25" i="4" l="1"/>
  <c r="J25" i="4"/>
  <c r="D18" i="4"/>
  <c r="I18" i="4"/>
  <c r="J18" i="4"/>
  <c r="F6" i="4"/>
  <c r="F18" i="4" s="1"/>
  <c r="J6" i="4"/>
  <c r="I7" i="4"/>
  <c r="C9" i="4"/>
  <c r="C18" i="4" s="1"/>
  <c r="F10" i="4"/>
  <c r="I11" i="4"/>
  <c r="C13" i="4"/>
  <c r="F14" i="4"/>
  <c r="I15" i="4"/>
  <c r="C17" i="4"/>
  <c r="G17" i="4"/>
  <c r="I22" i="4"/>
  <c r="D23" i="4"/>
  <c r="G24" i="4"/>
  <c r="B25" i="4"/>
  <c r="G6" i="4"/>
  <c r="G18" i="4" s="1"/>
  <c r="F18" i="5"/>
  <c r="C23" i="5"/>
  <c r="O23" i="5"/>
  <c r="L18" i="6"/>
  <c r="C23" i="6"/>
  <c r="O23" i="6"/>
  <c r="F18" i="7"/>
  <c r="I23" i="7"/>
  <c r="I17" i="4"/>
  <c r="C22" i="4"/>
  <c r="G22" i="4"/>
  <c r="G25" i="4" s="1"/>
  <c r="F23" i="4"/>
  <c r="F25" i="4" s="1"/>
  <c r="I24" i="4"/>
  <c r="D25" i="4" l="1"/>
  <c r="C25" i="4"/>
</calcChain>
</file>

<file path=xl/sharedStrings.xml><?xml version="1.0" encoding="utf-8"?>
<sst xmlns="http://schemas.openxmlformats.org/spreadsheetml/2006/main" count="1055" uniqueCount="164">
  <si>
    <t>Communication Arts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</si>
  <si>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</si>
  <si>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</si>
  <si>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</si>
  <si>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</si>
  <si>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</si>
  <si>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</si>
  <si>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</si>
  <si>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</si>
  <si>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</si>
  <si>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</si>
  <si>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</si>
  <si>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</si>
  <si>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</si>
  <si>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</si>
  <si>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</si>
  <si>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</si>
  <si>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</si>
  <si>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</si>
  <si>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</si>
  <si>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</si>
  <si>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</si>
  <si>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</si>
  <si>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</si>
  <si>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</si>
  <si>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</si>
  <si>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</si>
  <si>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</si>
  <si>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</si>
  <si>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</si>
  <si>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</si>
  <si>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</si>
  <si>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</si>
  <si>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</si>
  <si>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</si>
  <si>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</si>
  <si>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</si>
  <si>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</si>
  <si>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</si>
  <si>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</si>
  <si>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</si>
  <si>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</si>
  <si>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</si>
  <si>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</si>
  <si>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</si>
  <si>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</si>
  <si>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</si>
  <si>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</si>
  <si>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</si>
  <si>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</si>
  <si>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</si>
  <si>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</si>
  <si>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</si>
  <si>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</si>
  <si>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</si>
  <si>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</si>
  <si>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</si>
  <si>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</si>
  <si>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</si>
  <si>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</si>
  <si>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</si>
  <si>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</si>
  <si>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</si>
  <si>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</si>
  <si>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</si>
  <si>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</si>
  <si>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</si>
  <si>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</si>
  <si>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</si>
  <si>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</si>
  <si>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</si>
  <si>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</si>
  <si>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</si>
  <si>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</si>
  <si>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</si>
  <si>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</si>
  <si>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</si>
  <si>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</si>
  <si>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</si>
  <si>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</si>
  <si>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</si>
  <si>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</si>
  <si>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</si>
  <si>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</si>
  <si>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</si>
  <si>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</si>
  <si>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</si>
  <si>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</si>
  <si>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</si>
  <si>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</si>
  <si>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</si>
  <si>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</si>
  <si>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</si>
  <si>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</si>
  <si>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</si>
  <si>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</si>
  <si>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</si>
  <si>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</si>
  <si>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</si>
  <si>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</si>
  <si>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</si>
  <si>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</si>
  <si>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</si>
  <si>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</si>
  <si>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</si>
  <si>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</si>
  <si>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</si>
  <si>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</si>
  <si>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</si>
  <si>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</si>
  <si>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</si>
  <si>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COMM</t>
  </si>
  <si>
    <t>AA</t>
  </si>
  <si>
    <t>COMM-AA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</si>
  <si>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</si>
  <si>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</si>
  <si>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</si>
  <si>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</si>
  <si>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</si>
  <si>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</si>
  <si>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</si>
  <si>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</si>
  <si>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</si>
  <si>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</si>
  <si>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</si>
  <si>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</si>
  <si>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</si>
  <si>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</si>
  <si>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</si>
  <si>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</si>
  <si>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</si>
  <si>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</si>
  <si>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</si>
  <si>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</si>
  <si>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</si>
  <si>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</si>
  <si>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</si>
  <si>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</si>
  <si>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COMM100</t>
  </si>
  <si>
    <t>day</t>
  </si>
  <si>
    <t>ex_day</t>
  </si>
  <si>
    <t>COMM125</t>
  </si>
  <si>
    <t>COMM150</t>
  </si>
  <si>
    <t>COMM180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</si>
  <si>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</si>
  <si>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</si>
  <si>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</si>
  <si>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</si>
  <si>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</si>
  <si>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</si>
  <si>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</si>
  <si>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Page</t>
  </si>
  <si>
    <t>Kofford</t>
  </si>
  <si>
    <t>Eugenio</t>
  </si>
  <si>
    <t>Worsham</t>
  </si>
  <si>
    <t>Marquez</t>
  </si>
  <si>
    <t>Guinn</t>
  </si>
  <si>
    <t>Short Term</t>
  </si>
  <si>
    <t>COMS</t>
  </si>
  <si>
    <t>AA-T</t>
  </si>
  <si>
    <t>COMST-AA-T</t>
  </si>
  <si>
    <t>Comm Studies for Transfer</t>
  </si>
  <si>
    <t>AAT/IG</t>
  </si>
  <si>
    <t>COMST-AAT/IG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</si>
</sst>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Calibri"/>
    </font>
    <font>
      <sz val="48"/>
      <color rgb="FF000000"/>
      <name val="Calibri"/>
    </font>
    <font>
      <sz val="28"/>
      <color rgb="FF000000"/>
      <name val="Calibri"/>
    </font>
    <font>
      <sz val="18"/>
      <color rgb="FF000000"/>
      <name val="Calibri"/>
    </font>
    <font>
      <b/>
      <sz val="10"/>
      <color rgb="FF000000"/>
      <name val="Calibri"/>
    </font>
    <font>
      <b/>
      <sz val="16"/>
      <color rgb="FFFFFFFF"/>
      <name val="Calibri"/>
    </font>
    <font>
      <b/>
      <sz val="12"/>
      <color rgb="FFFFFFFF"/>
      <name val="Calibri"/>
    </font>
    <font>
      <b/>
      <sz val="10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7" fillId="3" borderId="1" xfId="0" applyFont="1" applyFill="1" applyBorder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0" fontId="0" fillId="4" borderId="1" xfId="0" applyFill="1" applyBorder="1"/>
    <xf numFmtId="10" fontId="0" fillId="4" borderId="1" xfId="0" applyNumberFormat="1" applyFill="1" applyBorder="1"/>
    <xf numFmtId="10" fontId="0" fillId="0" borderId="1" xfId="0" applyNumberFormat="1" applyBorder="1"/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0" fontId="0" fillId="6" borderId="1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0" fontId="0" fillId="6" borderId="3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7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4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vertical="top"/>
    </xf>
    <xf numFmtId="0" fontId="5" fillId="5" borderId="1" xfId="0" applyFont="1" applyFill="1" applyBorder="1"/>
    <xf numFmtId="0" fontId="0" fillId="5" borderId="1" xfId="0" applyFill="1" applyBorder="1"/>
  </cellXfs>
  <cellStyles count="1">
    <cellStyle name="Normal" xfId="0" builtinId="0"/>
  </cellStyles>
  <dxfs count="8">
    <dxf>
      <font>
        <b/>
        <color rgb="FF006100"/>
      </font>
      <fill>
        <patternFill patternType="solid">
          <bgColor rgb="FFC6EFCE"/>
        </patternFill>
      </fill>
    </dxf>
    <dxf>
      <font>
        <b/>
        <color rgb="FF9C0006"/>
      </font>
      <fill>
        <patternFill patternType="solid">
          <bgColor rgb="FFFFC7CE"/>
        </patternFill>
      </fill>
    </dxf>
    <dxf>
      <font>
        <b/>
        <color rgb="FF9C0006"/>
      </font>
      <fill>
        <patternFill patternType="solid">
          <bgColor rgb="FFFFC7CE"/>
        </patternFill>
      </fill>
    </dxf>
    <dxf>
      <font>
        <b/>
        <color rgb="FF9C0006"/>
      </font>
      <fill>
        <patternFill patternType="solid">
          <bgColor rgb="FFFFC7CE"/>
        </patternFill>
      </fill>
    </dxf>
    <dxf>
      <font>
        <b/>
        <color rgb="FF006100"/>
      </font>
      <fill>
        <patternFill patternType="solid">
          <bgColor rgb="FFC6EFCE"/>
        </patternFill>
      </fill>
    </dxf>
    <dxf>
      <font>
        <b/>
        <color rgb="FF9C0006"/>
      </font>
      <fill>
        <patternFill patternType="solid">
          <bgColor rgb="FFFFC7CE"/>
        </patternFill>
      </fill>
    </dxf>
    <dxf>
      <font>
        <b/>
        <color rgb="FF9C0006"/>
      </font>
      <fill>
        <patternFill patternType="solid">
          <bgColor rgb="FFFFC7CE"/>
        </patternFill>
      </fill>
    </dxf>
    <dxf>
      <font>
        <b/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2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workbookViewId="0">
      <selection activeCell="A26" sqref="A26:O26"/>
    </sheetView>
  </sheetViews>
  <sheetFormatPr defaultRowHeight="12.75" x14ac:dyDescent="0.2"/>
  <sheetData>
    <row r="1" spans="1:15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61.5" x14ac:dyDescent="0.9">
      <c r="A16" s="28" t="s">
        <v>0</v>
      </c>
      <c r="B16" s="28"/>
      <c r="C16" s="2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36" x14ac:dyDescent="0.55000000000000004">
      <c r="A19" s="26" t="s">
        <v>1</v>
      </c>
      <c r="B19" s="26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36" x14ac:dyDescent="0.55000000000000004">
      <c r="A21" s="26" t="s">
        <v>2</v>
      </c>
      <c r="B21" s="26"/>
      <c r="C21" s="2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23.25" x14ac:dyDescent="0.35">
      <c r="A23" s="27" t="s">
        <v>3</v>
      </c>
      <c r="B23" s="27"/>
      <c r="C23" s="27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2">
      <c r="A25" s="25" t="s">
        <v>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">
      <c r="A26" s="24" t="s">
        <v>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2">
      <c r="A29" s="25" t="s">
        <v>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2">
      <c r="A30" s="25" t="s">
        <v>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</sheetData>
  <sheetProtection formatCells="0" formatColumns="0" formatRows="0" insertColumns="0" insertRows="0" insertHyperlinks="0" deleteColumns="0" deleteRows="0" sort="0" autoFilter="0" pivotTables="0"/>
  <mergeCells count="30"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ageMargins left="0.4" right="0.4" top="0.6" bottom="0.6" header="0.3" footer="0.3"/>
  <pageSetup orientation="landscape"/>
  <headerFooter>
    <oddHeader>&amp;L&amp;B2017-2018 IVC Research Report for COMM&amp;RPrinted on &amp;D</oddHeader>
    <oddFooter>&amp;L&amp;BGenerated By: Office of Institutional Research&amp;RPage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37" sqref="A37"/>
    </sheetView>
  </sheetViews>
  <sheetFormatPr defaultRowHeight="12.75" x14ac:dyDescent="0.2"/>
  <cols>
    <col min="1" max="1" width="16" customWidth="1"/>
    <col min="2" max="2" width="10" customWidth="1"/>
    <col min="3" max="4" width="11" customWidth="1"/>
    <col min="5" max="5" width="10" customWidth="1"/>
    <col min="6" max="7" width="11" customWidth="1"/>
    <col min="8" max="8" width="10" customWidth="1"/>
    <col min="9" max="10" width="11" customWidth="1"/>
    <col min="11" max="11" width="10" customWidth="1"/>
    <col min="12" max="13" width="11" customWidth="1"/>
  </cols>
  <sheetData>
    <row r="1" spans="1:13" ht="21" x14ac:dyDescent="0.35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.75" x14ac:dyDescent="0.25">
      <c r="A2" s="35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4" spans="1:13" x14ac:dyDescent="0.2">
      <c r="B4" s="32" t="s">
        <v>10</v>
      </c>
      <c r="C4" s="32"/>
      <c r="D4" s="32"/>
      <c r="E4" s="32"/>
      <c r="F4" s="32" t="s">
        <v>11</v>
      </c>
      <c r="G4" s="32"/>
      <c r="H4" s="32"/>
      <c r="I4" s="32"/>
      <c r="J4" s="32" t="s">
        <v>12</v>
      </c>
      <c r="K4" s="32"/>
      <c r="L4" s="32"/>
      <c r="M4" s="32"/>
    </row>
    <row r="5" spans="1:13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14</v>
      </c>
      <c r="K5" s="2" t="s">
        <v>15</v>
      </c>
      <c r="L5" s="2" t="s">
        <v>16</v>
      </c>
      <c r="M5" s="2" t="s">
        <v>17</v>
      </c>
    </row>
    <row r="6" spans="1:13" x14ac:dyDescent="0.2">
      <c r="A6" s="3" t="s">
        <v>18</v>
      </c>
      <c r="B6" s="4">
        <v>0</v>
      </c>
      <c r="C6" s="5">
        <f t="shared" ref="C6:C18" si="0">IF(E6=0, 0, (D6/E6))</f>
        <v>0</v>
      </c>
      <c r="D6" s="4">
        <v>0</v>
      </c>
      <c r="E6" s="4">
        <v>0</v>
      </c>
      <c r="F6" s="4">
        <v>0</v>
      </c>
      <c r="G6" s="5">
        <f t="shared" ref="G6:G18" si="1">IF(I6=0, 0, (H6/I6))</f>
        <v>0</v>
      </c>
      <c r="H6" s="4">
        <v>0</v>
      </c>
      <c r="I6" s="4">
        <v>0</v>
      </c>
      <c r="J6" s="4">
        <v>0</v>
      </c>
      <c r="K6" s="5">
        <f t="shared" ref="K6:K18" si="2">IF(M6=0, 0, (L6/M6))</f>
        <v>0</v>
      </c>
      <c r="L6" s="4">
        <v>0</v>
      </c>
      <c r="M6" s="4">
        <v>0</v>
      </c>
    </row>
    <row r="7" spans="1:13" x14ac:dyDescent="0.2">
      <c r="A7" s="3" t="s">
        <v>19</v>
      </c>
      <c r="B7" s="3">
        <v>0</v>
      </c>
      <c r="C7" s="6">
        <f t="shared" si="0"/>
        <v>0</v>
      </c>
      <c r="D7" s="3">
        <v>0</v>
      </c>
      <c r="E7" s="3">
        <v>0</v>
      </c>
      <c r="F7" s="3">
        <v>0</v>
      </c>
      <c r="G7" s="6">
        <f t="shared" si="1"/>
        <v>0</v>
      </c>
      <c r="H7" s="3">
        <v>0</v>
      </c>
      <c r="I7" s="3">
        <v>0</v>
      </c>
      <c r="J7" s="3">
        <v>0</v>
      </c>
      <c r="K7" s="6">
        <f t="shared" si="2"/>
        <v>0</v>
      </c>
      <c r="L7" s="3">
        <v>0</v>
      </c>
      <c r="M7" s="3">
        <v>0</v>
      </c>
    </row>
    <row r="8" spans="1:13" x14ac:dyDescent="0.2">
      <c r="A8" s="3" t="s">
        <v>20</v>
      </c>
      <c r="B8" s="4">
        <v>0</v>
      </c>
      <c r="C8" s="5">
        <f t="shared" si="0"/>
        <v>0</v>
      </c>
      <c r="D8" s="4">
        <v>0</v>
      </c>
      <c r="E8" s="4">
        <v>0</v>
      </c>
      <c r="F8" s="4">
        <v>0</v>
      </c>
      <c r="G8" s="5">
        <f t="shared" si="1"/>
        <v>0</v>
      </c>
      <c r="H8" s="4">
        <v>0</v>
      </c>
      <c r="I8" s="4">
        <v>0</v>
      </c>
      <c r="J8" s="4">
        <v>0</v>
      </c>
      <c r="K8" s="5">
        <f t="shared" si="2"/>
        <v>0</v>
      </c>
      <c r="L8" s="4">
        <v>0</v>
      </c>
      <c r="M8" s="4">
        <v>0</v>
      </c>
    </row>
    <row r="9" spans="1:13" x14ac:dyDescent="0.2">
      <c r="A9" s="3" t="s">
        <v>21</v>
      </c>
      <c r="B9" s="3">
        <v>0</v>
      </c>
      <c r="C9" s="6">
        <f t="shared" si="0"/>
        <v>0</v>
      </c>
      <c r="D9" s="3">
        <v>0</v>
      </c>
      <c r="E9" s="3">
        <v>0</v>
      </c>
      <c r="F9" s="3">
        <v>0</v>
      </c>
      <c r="G9" s="6">
        <f t="shared" si="1"/>
        <v>0</v>
      </c>
      <c r="H9" s="3">
        <v>0</v>
      </c>
      <c r="I9" s="3">
        <v>0</v>
      </c>
      <c r="J9" s="3">
        <v>0</v>
      </c>
      <c r="K9" s="6">
        <f t="shared" si="2"/>
        <v>0</v>
      </c>
      <c r="L9" s="3">
        <v>0</v>
      </c>
      <c r="M9" s="3">
        <v>0</v>
      </c>
    </row>
    <row r="10" spans="1:13" x14ac:dyDescent="0.2">
      <c r="A10" s="3" t="s">
        <v>22</v>
      </c>
      <c r="B10" s="4">
        <v>0</v>
      </c>
      <c r="C10" s="5">
        <f t="shared" si="0"/>
        <v>0</v>
      </c>
      <c r="D10" s="4">
        <v>0</v>
      </c>
      <c r="E10" s="4">
        <v>0</v>
      </c>
      <c r="F10" s="4">
        <v>0</v>
      </c>
      <c r="G10" s="5">
        <f t="shared" si="1"/>
        <v>0</v>
      </c>
      <c r="H10" s="4">
        <v>0</v>
      </c>
      <c r="I10" s="4">
        <v>0</v>
      </c>
      <c r="J10" s="4">
        <v>0</v>
      </c>
      <c r="K10" s="5">
        <f t="shared" si="2"/>
        <v>0</v>
      </c>
      <c r="L10" s="4">
        <v>0</v>
      </c>
      <c r="M10" s="4">
        <v>0</v>
      </c>
    </row>
    <row r="11" spans="1:13" x14ac:dyDescent="0.2">
      <c r="A11" s="3" t="s">
        <v>23</v>
      </c>
      <c r="B11" s="3">
        <v>0</v>
      </c>
      <c r="C11" s="6">
        <f t="shared" si="0"/>
        <v>0</v>
      </c>
      <c r="D11" s="3">
        <v>0</v>
      </c>
      <c r="E11" s="3">
        <v>0</v>
      </c>
      <c r="F11" s="3">
        <v>0</v>
      </c>
      <c r="G11" s="6">
        <f t="shared" si="1"/>
        <v>0</v>
      </c>
      <c r="H11" s="3">
        <v>0</v>
      </c>
      <c r="I11" s="3">
        <v>0</v>
      </c>
      <c r="J11" s="3">
        <v>0</v>
      </c>
      <c r="K11" s="6">
        <f t="shared" si="2"/>
        <v>0</v>
      </c>
      <c r="L11" s="3">
        <v>0</v>
      </c>
      <c r="M11" s="3">
        <v>0</v>
      </c>
    </row>
    <row r="12" spans="1:13" x14ac:dyDescent="0.2">
      <c r="A12" s="3" t="s">
        <v>24</v>
      </c>
      <c r="B12" s="4">
        <v>0</v>
      </c>
      <c r="C12" s="5">
        <f t="shared" si="0"/>
        <v>0</v>
      </c>
      <c r="D12" s="4">
        <v>0</v>
      </c>
      <c r="E12" s="4">
        <v>0</v>
      </c>
      <c r="F12" s="4">
        <v>0</v>
      </c>
      <c r="G12" s="5">
        <f t="shared" si="1"/>
        <v>0</v>
      </c>
      <c r="H12" s="4">
        <v>0</v>
      </c>
      <c r="I12" s="4">
        <v>0</v>
      </c>
      <c r="J12" s="4">
        <v>0</v>
      </c>
      <c r="K12" s="5">
        <f t="shared" si="2"/>
        <v>0</v>
      </c>
      <c r="L12" s="4">
        <v>0</v>
      </c>
      <c r="M12" s="4">
        <v>0</v>
      </c>
    </row>
    <row r="13" spans="1:13" x14ac:dyDescent="0.2">
      <c r="A13" s="3" t="s">
        <v>25</v>
      </c>
      <c r="B13" s="3">
        <v>0</v>
      </c>
      <c r="C13" s="6">
        <f t="shared" si="0"/>
        <v>0</v>
      </c>
      <c r="D13" s="3">
        <v>0</v>
      </c>
      <c r="E13" s="3">
        <v>0</v>
      </c>
      <c r="F13" s="3">
        <v>0</v>
      </c>
      <c r="G13" s="6">
        <f t="shared" si="1"/>
        <v>0</v>
      </c>
      <c r="H13" s="3">
        <v>0</v>
      </c>
      <c r="I13" s="3">
        <v>0</v>
      </c>
      <c r="J13" s="3">
        <v>0</v>
      </c>
      <c r="K13" s="6">
        <f t="shared" si="2"/>
        <v>0</v>
      </c>
      <c r="L13" s="3">
        <v>0</v>
      </c>
      <c r="M13" s="3">
        <v>0</v>
      </c>
    </row>
    <row r="14" spans="1:13" x14ac:dyDescent="0.2">
      <c r="A14" s="3" t="s">
        <v>26</v>
      </c>
      <c r="B14" s="4">
        <v>26</v>
      </c>
      <c r="C14" s="5">
        <f t="shared" si="0"/>
        <v>0.9653846153846154</v>
      </c>
      <c r="D14" s="4">
        <v>753</v>
      </c>
      <c r="E14" s="4">
        <v>780</v>
      </c>
      <c r="F14" s="4">
        <v>8</v>
      </c>
      <c r="G14" s="5">
        <f t="shared" si="1"/>
        <v>0.66666666666666663</v>
      </c>
      <c r="H14" s="4">
        <v>160</v>
      </c>
      <c r="I14" s="4">
        <v>240</v>
      </c>
      <c r="J14" s="4">
        <v>0</v>
      </c>
      <c r="K14" s="5">
        <f t="shared" si="2"/>
        <v>0</v>
      </c>
      <c r="L14" s="4">
        <v>0</v>
      </c>
      <c r="M14" s="4">
        <v>0</v>
      </c>
    </row>
    <row r="15" spans="1:13" x14ac:dyDescent="0.2">
      <c r="A15" s="3" t="s">
        <v>27</v>
      </c>
      <c r="B15" s="3">
        <v>4</v>
      </c>
      <c r="C15" s="6">
        <f t="shared" si="0"/>
        <v>1.0249999999999999</v>
      </c>
      <c r="D15" s="3">
        <v>123</v>
      </c>
      <c r="E15" s="3">
        <v>120</v>
      </c>
      <c r="F15" s="3">
        <v>0</v>
      </c>
      <c r="G15" s="6">
        <f t="shared" si="1"/>
        <v>0</v>
      </c>
      <c r="H15" s="3">
        <v>0</v>
      </c>
      <c r="I15" s="3">
        <v>0</v>
      </c>
      <c r="J15" s="3">
        <v>0</v>
      </c>
      <c r="K15" s="6">
        <f t="shared" si="2"/>
        <v>0</v>
      </c>
      <c r="L15" s="3">
        <v>0</v>
      </c>
      <c r="M15" s="3">
        <v>0</v>
      </c>
    </row>
    <row r="16" spans="1:13" x14ac:dyDescent="0.2">
      <c r="A16" s="3" t="s">
        <v>28</v>
      </c>
      <c r="B16" s="4">
        <v>23</v>
      </c>
      <c r="C16" s="5">
        <f t="shared" si="0"/>
        <v>0.98840579710144927</v>
      </c>
      <c r="D16" s="4">
        <v>682</v>
      </c>
      <c r="E16" s="4">
        <v>690</v>
      </c>
      <c r="F16" s="4">
        <v>6</v>
      </c>
      <c r="G16" s="5">
        <f t="shared" si="1"/>
        <v>0.7865168539325843</v>
      </c>
      <c r="H16" s="4">
        <v>140</v>
      </c>
      <c r="I16" s="4">
        <v>178</v>
      </c>
      <c r="J16" s="4">
        <v>0</v>
      </c>
      <c r="K16" s="5">
        <f t="shared" si="2"/>
        <v>0</v>
      </c>
      <c r="L16" s="4">
        <v>0</v>
      </c>
      <c r="M16" s="4">
        <v>0</v>
      </c>
    </row>
    <row r="17" spans="1:13" x14ac:dyDescent="0.2">
      <c r="A17" s="3" t="s">
        <v>29</v>
      </c>
      <c r="B17" s="3">
        <v>6</v>
      </c>
      <c r="C17" s="6">
        <f t="shared" si="0"/>
        <v>0.97222222222222221</v>
      </c>
      <c r="D17" s="3">
        <v>175</v>
      </c>
      <c r="E17" s="3">
        <v>180</v>
      </c>
      <c r="F17" s="3">
        <v>1</v>
      </c>
      <c r="G17" s="6">
        <f t="shared" si="1"/>
        <v>0.7</v>
      </c>
      <c r="H17" s="3">
        <v>21</v>
      </c>
      <c r="I17" s="3">
        <v>30</v>
      </c>
      <c r="J17" s="3">
        <v>0</v>
      </c>
      <c r="K17" s="6">
        <f t="shared" si="2"/>
        <v>0</v>
      </c>
      <c r="L17" s="3">
        <v>0</v>
      </c>
      <c r="M17" s="3">
        <v>0</v>
      </c>
    </row>
    <row r="18" spans="1:13" x14ac:dyDescent="0.2">
      <c r="A18" s="7" t="s">
        <v>30</v>
      </c>
      <c r="B18" s="8">
        <f>SUM(B6:B17)</f>
        <v>59</v>
      </c>
      <c r="C18" s="9">
        <f t="shared" si="0"/>
        <v>0.97909604519774007</v>
      </c>
      <c r="D18" s="8">
        <f>SUM(D6:D17)</f>
        <v>1733</v>
      </c>
      <c r="E18" s="8">
        <f>SUM(E6:E17)</f>
        <v>1770</v>
      </c>
      <c r="F18" s="8">
        <f>SUM(F6:F17)</f>
        <v>15</v>
      </c>
      <c r="G18" s="9">
        <f t="shared" si="1"/>
        <v>0.7165178571428571</v>
      </c>
      <c r="H18" s="8">
        <f>SUM(H6:H17)</f>
        <v>321</v>
      </c>
      <c r="I18" s="8">
        <f>SUM(I6:I17)</f>
        <v>448</v>
      </c>
      <c r="J18" s="8">
        <f>SUM(J6:J17)</f>
        <v>0</v>
      </c>
      <c r="K18" s="9">
        <f t="shared" si="2"/>
        <v>0</v>
      </c>
      <c r="L18" s="8">
        <f>SUM(L6:L17)</f>
        <v>0</v>
      </c>
      <c r="M18" s="8">
        <f>SUM(M6:M17)</f>
        <v>0</v>
      </c>
    </row>
    <row r="20" spans="1:13" x14ac:dyDescent="0.2">
      <c r="B20" s="32" t="s">
        <v>10</v>
      </c>
      <c r="C20" s="32"/>
      <c r="D20" s="32"/>
      <c r="E20" s="32"/>
      <c r="F20" s="32" t="s">
        <v>11</v>
      </c>
      <c r="G20" s="32"/>
      <c r="H20" s="32"/>
      <c r="I20" s="32"/>
      <c r="J20" s="32" t="s">
        <v>12</v>
      </c>
      <c r="K20" s="32"/>
      <c r="L20" s="32"/>
      <c r="M20" s="32"/>
    </row>
    <row r="21" spans="1:13" x14ac:dyDescent="0.2">
      <c r="A21" s="2" t="s">
        <v>31</v>
      </c>
      <c r="B21" s="2" t="s">
        <v>14</v>
      </c>
      <c r="C21" s="2" t="s">
        <v>15</v>
      </c>
      <c r="D21" s="2" t="s">
        <v>16</v>
      </c>
      <c r="E21" s="2" t="s">
        <v>17</v>
      </c>
      <c r="F21" s="2" t="s">
        <v>14</v>
      </c>
      <c r="G21" s="2" t="s">
        <v>15</v>
      </c>
      <c r="H21" s="2" t="s">
        <v>16</v>
      </c>
      <c r="I21" s="2" t="s">
        <v>17</v>
      </c>
      <c r="J21" s="2" t="s">
        <v>14</v>
      </c>
      <c r="K21" s="2" t="s">
        <v>15</v>
      </c>
      <c r="L21" s="2" t="s">
        <v>16</v>
      </c>
      <c r="M21" s="2" t="s">
        <v>17</v>
      </c>
    </row>
    <row r="22" spans="1:13" x14ac:dyDescent="0.2">
      <c r="A22" s="3" t="s">
        <v>32</v>
      </c>
      <c r="B22" s="4">
        <v>0</v>
      </c>
      <c r="C22" s="5">
        <f>IF(E22=0, 0, (D22/E22))</f>
        <v>0</v>
      </c>
      <c r="D22" s="4">
        <v>0</v>
      </c>
      <c r="E22" s="4">
        <v>0</v>
      </c>
      <c r="F22" s="4">
        <v>0</v>
      </c>
      <c r="G22" s="5">
        <f>IF(I22=0, 0, (H22/I22))</f>
        <v>0</v>
      </c>
      <c r="H22" s="4">
        <v>0</v>
      </c>
      <c r="I22" s="4">
        <v>0</v>
      </c>
      <c r="J22" s="4">
        <v>0</v>
      </c>
      <c r="K22" s="5">
        <f>IF(M22=0, 0, (L22/M22))</f>
        <v>0</v>
      </c>
      <c r="L22" s="4">
        <v>0</v>
      </c>
      <c r="M22" s="4">
        <v>0</v>
      </c>
    </row>
    <row r="23" spans="1:13" x14ac:dyDescent="0.2">
      <c r="A23" s="3" t="s">
        <v>33</v>
      </c>
      <c r="B23" s="3">
        <v>0</v>
      </c>
      <c r="C23" s="6">
        <f>IF(E23=0, 0, (D23/E23))</f>
        <v>0</v>
      </c>
      <c r="D23" s="3">
        <v>0</v>
      </c>
      <c r="E23" s="3">
        <v>0</v>
      </c>
      <c r="F23" s="3">
        <v>0</v>
      </c>
      <c r="G23" s="6">
        <f>IF(I23=0, 0, (H23/I23))</f>
        <v>0</v>
      </c>
      <c r="H23" s="3">
        <v>0</v>
      </c>
      <c r="I23" s="3">
        <v>0</v>
      </c>
      <c r="J23" s="3">
        <v>0</v>
      </c>
      <c r="K23" s="6">
        <f>IF(M23=0, 0, (L23/M23))</f>
        <v>0</v>
      </c>
      <c r="L23" s="3">
        <v>0</v>
      </c>
      <c r="M23" s="3">
        <v>0</v>
      </c>
    </row>
    <row r="24" spans="1:13" x14ac:dyDescent="0.2">
      <c r="A24" s="3" t="s">
        <v>34</v>
      </c>
      <c r="B24" s="4">
        <v>59</v>
      </c>
      <c r="C24" s="5">
        <f>IF(E24=0, 0, (D24/E24))</f>
        <v>0.97909604519774007</v>
      </c>
      <c r="D24" s="4">
        <v>1733</v>
      </c>
      <c r="E24" s="4">
        <v>1770</v>
      </c>
      <c r="F24" s="4">
        <v>15</v>
      </c>
      <c r="G24" s="5">
        <f>IF(I24=0, 0, (H24/I24))</f>
        <v>0.7165178571428571</v>
      </c>
      <c r="H24" s="4">
        <v>321</v>
      </c>
      <c r="I24" s="4">
        <v>448</v>
      </c>
      <c r="J24" s="4">
        <v>0</v>
      </c>
      <c r="K24" s="5">
        <f>IF(M24=0, 0, (L24/M24))</f>
        <v>0</v>
      </c>
      <c r="L24" s="4">
        <v>0</v>
      </c>
      <c r="M24" s="4">
        <v>0</v>
      </c>
    </row>
    <row r="25" spans="1:13" x14ac:dyDescent="0.2">
      <c r="A25" s="7" t="s">
        <v>30</v>
      </c>
      <c r="B25" s="8">
        <f>SUM(B22:B24)</f>
        <v>59</v>
      </c>
      <c r="C25" s="9">
        <f>IF(E25=0, 0, (D25/E25))</f>
        <v>0.97909604519774007</v>
      </c>
      <c r="D25" s="8">
        <f>SUM(D22:D24)</f>
        <v>1733</v>
      </c>
      <c r="E25" s="8">
        <f>SUM(E22:E24)</f>
        <v>1770</v>
      </c>
      <c r="F25" s="8">
        <f>SUM(F22:F24)</f>
        <v>15</v>
      </c>
      <c r="G25" s="9">
        <f>IF(I25=0, 0, (H25/I25))</f>
        <v>0.7165178571428571</v>
      </c>
      <c r="H25" s="8">
        <f>SUM(H22:H24)</f>
        <v>321</v>
      </c>
      <c r="I25" s="8">
        <f>SUM(I22:I24)</f>
        <v>448</v>
      </c>
      <c r="J25" s="8">
        <f>SUM(J22:J24)</f>
        <v>0</v>
      </c>
      <c r="K25" s="9">
        <f>IF(M25=0, 0, (L25/M25))</f>
        <v>0</v>
      </c>
      <c r="L25" s="8">
        <f>SUM(L22:L24)</f>
        <v>0</v>
      </c>
      <c r="M25" s="8">
        <f>SUM(M22:M24)</f>
        <v>0</v>
      </c>
    </row>
    <row r="28" spans="1:13" ht="21" x14ac:dyDescent="0.35">
      <c r="A28" s="33" t="s">
        <v>35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30" spans="1:13" x14ac:dyDescent="0.2">
      <c r="A30" s="29" t="s">
        <v>36</v>
      </c>
      <c r="B30" s="30"/>
      <c r="C30" s="31" t="s">
        <v>37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x14ac:dyDescent="0.2">
      <c r="A31" s="29" t="s">
        <v>38</v>
      </c>
      <c r="B31" s="30"/>
      <c r="C31" s="31" t="s">
        <v>39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x14ac:dyDescent="0.2">
      <c r="A32" s="29" t="s">
        <v>40</v>
      </c>
      <c r="B32" s="30"/>
      <c r="C32" s="31" t="s">
        <v>41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 x14ac:dyDescent="0.2">
      <c r="A33" s="29" t="s">
        <v>42</v>
      </c>
      <c r="B33" s="30"/>
      <c r="C33" s="31" t="s">
        <v>43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x14ac:dyDescent="0.2">
      <c r="A34" s="29" t="s">
        <v>44</v>
      </c>
      <c r="B34" s="30"/>
      <c r="C34" s="31" t="s">
        <v>45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 x14ac:dyDescent="0.2">
      <c r="A35" s="29" t="s">
        <v>46</v>
      </c>
      <c r="B35" s="30"/>
      <c r="C35" s="31" t="s">
        <v>47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3" x14ac:dyDescent="0.2">
      <c r="A36" s="29" t="s">
        <v>48</v>
      </c>
      <c r="B36" s="30"/>
      <c r="C36" s="31" t="s">
        <v>49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x14ac:dyDescent="0.2">
      <c r="A37" s="29" t="s">
        <v>50</v>
      </c>
      <c r="B37" s="30"/>
      <c r="C37" s="31" t="s">
        <v>51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</row>
  </sheetData>
  <sheetProtection formatCells="0" formatColumns="0" formatRows="0" insertColumns="0" insertRows="0" insertHyperlinks="0" deleteColumns="0" deleteRows="0" sort="0" autoFilter="0" pivotTables="0"/>
  <mergeCells count="25"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7:B37"/>
    <mergeCell ref="C37:M37"/>
    <mergeCell ref="A34:B34"/>
    <mergeCell ref="C34:M34"/>
    <mergeCell ref="A35:B35"/>
    <mergeCell ref="C35:M35"/>
    <mergeCell ref="A36:B36"/>
    <mergeCell ref="C36:M36"/>
  </mergeCells>
  <pageMargins left="0.4" right="0.4" top="0.6" bottom="0.6" header="0.3" footer="0.3"/>
  <pageSetup orientation="landscape"/>
  <headerFooter>
    <oddHeader>&amp;L&amp;B2017-2018 IVC Research Report for COMM&amp;RPrinted on &amp;D</oddHeader>
    <oddFooter>&amp;L&amp;BGenerated By: Office of Institutional Research&amp;RPage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34" sqref="C34"/>
    </sheetView>
  </sheetViews>
  <sheetFormatPr defaultRowHeight="12.75" x14ac:dyDescent="0.2"/>
  <cols>
    <col min="1" max="1" width="14" customWidth="1"/>
    <col min="2" max="2" width="13" customWidth="1"/>
    <col min="3" max="4" width="15" customWidth="1"/>
    <col min="5" max="5" width="13" customWidth="1"/>
    <col min="6" max="7" width="15" customWidth="1"/>
    <col min="8" max="8" width="13" customWidth="1"/>
    <col min="9" max="10" width="15" customWidth="1"/>
  </cols>
  <sheetData>
    <row r="1" spans="1:10" ht="21" x14ac:dyDescent="0.35">
      <c r="A1" s="33" t="s">
        <v>52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x14ac:dyDescent="0.25">
      <c r="A2" s="35" t="s">
        <v>53</v>
      </c>
      <c r="B2" s="34"/>
      <c r="C2" s="34"/>
      <c r="D2" s="34"/>
      <c r="E2" s="34"/>
      <c r="F2" s="34"/>
      <c r="G2" s="34"/>
      <c r="H2" s="34"/>
      <c r="I2" s="34"/>
      <c r="J2" s="34"/>
    </row>
    <row r="4" spans="1:10" x14ac:dyDescent="0.2">
      <c r="A4" s="2" t="s">
        <v>13</v>
      </c>
      <c r="B4" s="2" t="s">
        <v>54</v>
      </c>
      <c r="C4" s="2" t="s">
        <v>55</v>
      </c>
      <c r="D4" s="2" t="s">
        <v>56</v>
      </c>
      <c r="E4" s="1"/>
      <c r="F4" s="1"/>
    </row>
    <row r="5" spans="1:10" x14ac:dyDescent="0.2">
      <c r="A5" s="3" t="s">
        <v>18</v>
      </c>
      <c r="B5" s="3">
        <f>SUMIFS(INDEX(course_data, 0, 16), INDEX(course_data, 0, 3), "=201510")</f>
        <v>0</v>
      </c>
      <c r="C5" s="3">
        <f>SUMIFS(INDEX(course_data, 0, 17), INDEX(course_data, 0, 3), "=201510")</f>
        <v>0</v>
      </c>
      <c r="D5" s="3">
        <f t="shared" ref="D5:D16" si="0">IF(B5=0, 0, ROUND((B5/C5), 2))</f>
        <v>0</v>
      </c>
    </row>
    <row r="6" spans="1:10" x14ac:dyDescent="0.2">
      <c r="A6" s="3" t="s">
        <v>19</v>
      </c>
      <c r="B6" s="4">
        <f>SUMIFS(INDEX(course_data, 0, 16), INDEX(course_data, 0, 3), "=201515")</f>
        <v>0</v>
      </c>
      <c r="C6" s="4">
        <f>SUMIFS(INDEX(course_data, 0, 17), INDEX(course_data, 0, 3), "=201515")</f>
        <v>0</v>
      </c>
      <c r="D6" s="4">
        <f t="shared" si="0"/>
        <v>0</v>
      </c>
    </row>
    <row r="7" spans="1:10" x14ac:dyDescent="0.2">
      <c r="A7" s="3" t="s">
        <v>20</v>
      </c>
      <c r="B7" s="3">
        <f>SUMIFS(INDEX(course_data, 0, 16), INDEX(course_data, 0, 3), "=201520")</f>
        <v>0</v>
      </c>
      <c r="C7" s="3">
        <f>SUMIFS(INDEX(course_data, 0, 17), INDEX(course_data, 0, 3), "=201520")</f>
        <v>0</v>
      </c>
      <c r="D7" s="3">
        <f t="shared" si="0"/>
        <v>0</v>
      </c>
    </row>
    <row r="8" spans="1:10" x14ac:dyDescent="0.2">
      <c r="A8" s="3" t="s">
        <v>21</v>
      </c>
      <c r="B8" s="4">
        <f>SUMIFS(INDEX(course_data, 0, 16), INDEX(course_data, 0, 3), "=201530")</f>
        <v>0</v>
      </c>
      <c r="C8" s="4">
        <f>SUMIFS(INDEX(course_data, 0, 17), INDEX(course_data, 0, 3), "=201530")</f>
        <v>0</v>
      </c>
      <c r="D8" s="4">
        <f t="shared" si="0"/>
        <v>0</v>
      </c>
    </row>
    <row r="9" spans="1:10" x14ac:dyDescent="0.2">
      <c r="A9" s="3" t="s">
        <v>22</v>
      </c>
      <c r="B9" s="3">
        <f>SUMIFS(INDEX(course_data, 0, 16), INDEX(course_data, 0, 3), "=201610")</f>
        <v>0</v>
      </c>
      <c r="C9" s="3">
        <f>SUMIFS(INDEX(course_data, 0, 17), INDEX(course_data, 0, 3), "=201610")</f>
        <v>0</v>
      </c>
      <c r="D9" s="3">
        <f t="shared" si="0"/>
        <v>0</v>
      </c>
    </row>
    <row r="10" spans="1:10" x14ac:dyDescent="0.2">
      <c r="A10" s="3" t="s">
        <v>23</v>
      </c>
      <c r="B10" s="4">
        <f>SUMIFS(INDEX(course_data, 0, 16), INDEX(course_data, 0, 3), "=201615")</f>
        <v>0</v>
      </c>
      <c r="C10" s="4">
        <f>SUMIFS(INDEX(course_data, 0, 17), INDEX(course_data, 0, 3), "=201615")</f>
        <v>0</v>
      </c>
      <c r="D10" s="4">
        <f t="shared" si="0"/>
        <v>0</v>
      </c>
    </row>
    <row r="11" spans="1:10" x14ac:dyDescent="0.2">
      <c r="A11" s="3" t="s">
        <v>24</v>
      </c>
      <c r="B11" s="3">
        <f>SUMIFS(INDEX(course_data, 0, 16), INDEX(course_data, 0, 3), "=201620")</f>
        <v>0</v>
      </c>
      <c r="C11" s="3">
        <f>SUMIFS(INDEX(course_data, 0, 17), INDEX(course_data, 0, 3), "=201620")</f>
        <v>0</v>
      </c>
      <c r="D11" s="3">
        <f t="shared" si="0"/>
        <v>0</v>
      </c>
    </row>
    <row r="12" spans="1:10" x14ac:dyDescent="0.2">
      <c r="A12" s="3" t="s">
        <v>25</v>
      </c>
      <c r="B12" s="4">
        <f>SUMIFS(INDEX(course_data, 0, 16), INDEX(course_data, 0, 3), "=201630")</f>
        <v>0</v>
      </c>
      <c r="C12" s="4">
        <f>SUMIFS(INDEX(course_data, 0, 17), INDEX(course_data, 0, 3), "=201630")</f>
        <v>0</v>
      </c>
      <c r="D12" s="4">
        <f t="shared" si="0"/>
        <v>0</v>
      </c>
    </row>
    <row r="13" spans="1:10" x14ac:dyDescent="0.2">
      <c r="A13" s="3" t="s">
        <v>26</v>
      </c>
      <c r="B13" s="3">
        <f>SUMIFS(INDEX(course_data, 0, 16), INDEX(course_data, 0, 3), "=201710")</f>
        <v>3081.375</v>
      </c>
      <c r="C13" s="3">
        <f>SUMIFS(INDEX(course_data, 0, 17), INDEX(course_data, 0, 3), "=201710")</f>
        <v>6.870000000000001</v>
      </c>
      <c r="D13" s="3">
        <f t="shared" si="0"/>
        <v>448.53</v>
      </c>
    </row>
    <row r="14" spans="1:10" x14ac:dyDescent="0.2">
      <c r="A14" s="3" t="s">
        <v>27</v>
      </c>
      <c r="B14" s="4">
        <f>SUMIFS(INDEX(course_data, 0, 16), INDEX(course_data, 0, 3), "=201715")</f>
        <v>415.125</v>
      </c>
      <c r="C14" s="4">
        <f>SUMIFS(INDEX(course_data, 0, 17), INDEX(course_data, 0, 3), "=201715")</f>
        <v>0.8</v>
      </c>
      <c r="D14" s="4">
        <f t="shared" si="0"/>
        <v>518.91</v>
      </c>
    </row>
    <row r="15" spans="1:10" x14ac:dyDescent="0.2">
      <c r="A15" s="3" t="s">
        <v>28</v>
      </c>
      <c r="B15" s="3">
        <f>SUMIFS(INDEX(course_data, 0, 16), INDEX(course_data, 0, 3), "=201720")</f>
        <v>2774.25</v>
      </c>
      <c r="C15" s="3">
        <f>SUMIFS(INDEX(course_data, 0, 17), INDEX(course_data, 0, 3), "=201720")</f>
        <v>5.8000000000000007</v>
      </c>
      <c r="D15" s="3">
        <f t="shared" si="0"/>
        <v>478.32</v>
      </c>
    </row>
    <row r="16" spans="1:10" x14ac:dyDescent="0.2">
      <c r="A16" s="3" t="s">
        <v>29</v>
      </c>
      <c r="B16" s="4">
        <f>SUMIFS(INDEX(course_data, 0, 16), INDEX(course_data, 0, 3), "=201730")</f>
        <v>661.5</v>
      </c>
      <c r="C16" s="4">
        <f>SUMIFS(INDEX(course_data, 0, 17), INDEX(course_data, 0, 3), "=201730")</f>
        <v>1.4</v>
      </c>
      <c r="D16" s="4">
        <f t="shared" si="0"/>
        <v>472.5</v>
      </c>
    </row>
    <row r="19" spans="1:10" x14ac:dyDescent="0.2">
      <c r="A19" s="2" t="s">
        <v>31</v>
      </c>
      <c r="B19" s="2" t="s">
        <v>54</v>
      </c>
      <c r="C19" s="2" t="s">
        <v>55</v>
      </c>
      <c r="D19" s="2" t="s">
        <v>56</v>
      </c>
      <c r="E19" s="1"/>
      <c r="F19" s="1"/>
    </row>
    <row r="20" spans="1:10" x14ac:dyDescent="0.2">
      <c r="A20" s="3" t="s">
        <v>57</v>
      </c>
      <c r="B20" s="4">
        <f>SUMIFS(INDEX(course_data, 0, 16), INDEX(course_data, 0, 1), "=2014-2015")</f>
        <v>0</v>
      </c>
      <c r="C20" s="4">
        <f>SUMIFS(INDEX(course_data, 0, 17), INDEX(course_data, 0, 1), "=2014-2015")</f>
        <v>0</v>
      </c>
      <c r="D20" s="4">
        <f>IF(B20=0, 0, ROUND((B20/C20), 2))</f>
        <v>0</v>
      </c>
    </row>
    <row r="21" spans="1:10" x14ac:dyDescent="0.2">
      <c r="A21" s="3" t="s">
        <v>58</v>
      </c>
      <c r="B21" s="3">
        <f>SUMIFS(INDEX(course_data, 0, 16), INDEX(course_data, 0, 1), "=2015-2016")</f>
        <v>0</v>
      </c>
      <c r="C21" s="3">
        <f>SUMIFS(INDEX(course_data, 0, 17), INDEX(course_data, 0, 1), "=2015-2016")</f>
        <v>0</v>
      </c>
      <c r="D21" s="3">
        <f>IF(B21=0, 0, ROUND((B21/C21), 2))</f>
        <v>0</v>
      </c>
    </row>
    <row r="22" spans="1:10" x14ac:dyDescent="0.2">
      <c r="A22" s="3" t="s">
        <v>59</v>
      </c>
      <c r="B22" s="4">
        <f>SUMIFS(INDEX(course_data, 0, 16), INDEX(course_data, 0, 1), "=2016-2017")</f>
        <v>6932.25</v>
      </c>
      <c r="C22" s="4">
        <f>SUMIFS(INDEX(course_data, 0, 17), INDEX(course_data, 0, 1), "=2016-2017")</f>
        <v>14.869999999999997</v>
      </c>
      <c r="D22" s="4">
        <f>IF(B22=0, 0, ROUND((B22/C22), 2))</f>
        <v>466.19</v>
      </c>
    </row>
    <row r="25" spans="1:10" ht="21" x14ac:dyDescent="0.35">
      <c r="A25" s="40" t="s">
        <v>60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1" x14ac:dyDescent="0.35">
      <c r="A26" s="40" t="s">
        <v>61</v>
      </c>
      <c r="B26" s="41"/>
      <c r="C26" s="41"/>
      <c r="D26" s="41"/>
      <c r="E26" s="41"/>
      <c r="F26" s="41"/>
      <c r="G26" s="41"/>
      <c r="H26" s="41"/>
      <c r="I26" s="41"/>
      <c r="J26" s="41"/>
    </row>
    <row r="29" spans="1:10" ht="21" x14ac:dyDescent="0.35">
      <c r="A29" s="33" t="s">
        <v>35</v>
      </c>
      <c r="B29" s="34"/>
      <c r="C29" s="34"/>
      <c r="D29" s="34"/>
      <c r="E29" s="34"/>
      <c r="F29" s="34"/>
      <c r="G29" s="34"/>
      <c r="H29" s="34"/>
      <c r="I29" s="34"/>
      <c r="J29" s="34"/>
    </row>
    <row r="31" spans="1:10" x14ac:dyDescent="0.2">
      <c r="A31" s="29" t="s">
        <v>36</v>
      </c>
      <c r="B31" s="30"/>
      <c r="C31" s="38" t="s">
        <v>37</v>
      </c>
      <c r="D31" s="31"/>
      <c r="E31" s="31"/>
      <c r="F31" s="31"/>
      <c r="G31" s="31"/>
      <c r="H31" s="31"/>
      <c r="I31" s="31"/>
      <c r="J31" s="31"/>
    </row>
    <row r="32" spans="1:10" ht="39.950000000000003" customHeight="1" x14ac:dyDescent="0.2">
      <c r="A32" s="39" t="s">
        <v>62</v>
      </c>
      <c r="B32" s="30"/>
      <c r="C32" s="37" t="s">
        <v>63</v>
      </c>
      <c r="D32" s="31"/>
      <c r="E32" s="31"/>
      <c r="F32" s="31"/>
      <c r="G32" s="31"/>
      <c r="H32" s="31"/>
      <c r="I32" s="31"/>
      <c r="J32" s="31"/>
    </row>
    <row r="33" spans="1:10" ht="30" customHeight="1" x14ac:dyDescent="0.2">
      <c r="A33" s="39" t="s">
        <v>64</v>
      </c>
      <c r="B33" s="30"/>
      <c r="C33" s="37" t="s">
        <v>65</v>
      </c>
      <c r="D33" s="31"/>
      <c r="E33" s="31"/>
      <c r="F33" s="31"/>
      <c r="G33" s="31"/>
      <c r="H33" s="31"/>
      <c r="I33" s="31"/>
      <c r="J33" s="31"/>
    </row>
    <row r="34" spans="1:10" ht="30" customHeight="1" x14ac:dyDescent="0.2">
      <c r="A34" s="36" t="s">
        <v>66</v>
      </c>
      <c r="B34" s="30"/>
      <c r="C34" s="37" t="s">
        <v>67</v>
      </c>
      <c r="D34" s="31"/>
      <c r="E34" s="31"/>
      <c r="F34" s="31"/>
      <c r="G34" s="31"/>
      <c r="H34" s="31"/>
      <c r="I34" s="31"/>
      <c r="J34" s="31"/>
    </row>
  </sheetData>
  <sheetProtection formatCells="0" formatColumns="0" formatRows="0" insertColumns="0" insertRows="0" insertHyperlinks="0" deleteColumns="0" deleteRows="0" sort="0" autoFilter="0" pivotTables="0"/>
  <mergeCells count="13">
    <mergeCell ref="A1:J1"/>
    <mergeCell ref="A2:J2"/>
    <mergeCell ref="A25:J25"/>
    <mergeCell ref="A26:J26"/>
    <mergeCell ref="A29:J29"/>
    <mergeCell ref="A34:B34"/>
    <mergeCell ref="C34:J34"/>
    <mergeCell ref="A31:B31"/>
    <mergeCell ref="C31:J31"/>
    <mergeCell ref="A32:B32"/>
    <mergeCell ref="C32:J32"/>
    <mergeCell ref="A33:B33"/>
    <mergeCell ref="C33:J33"/>
  </mergeCells>
  <pageMargins left="0.4" right="0.4" top="0.6" bottom="0.6" header="0.3" footer="0.3"/>
  <pageSetup orientation="landscape"/>
  <headerFooter>
    <oddHeader>&amp;L&amp;B2017-2018 IVC Research Report for COMM&amp;RPrinted on &amp;D</oddHeader>
    <oddFooter>&amp;L&amp;BGenerated By: Office of Institutional Research&amp;RPage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36" sqref="A36"/>
    </sheetView>
  </sheetViews>
  <sheetFormatPr defaultRowHeight="12.75" x14ac:dyDescent="0.2"/>
  <cols>
    <col min="1" max="1" width="16" customWidth="1"/>
    <col min="2" max="2" width="13" customWidth="1"/>
    <col min="3" max="4" width="15" customWidth="1"/>
    <col min="5" max="5" width="13" customWidth="1"/>
    <col min="6" max="7" width="15" customWidth="1"/>
    <col min="8" max="8" width="13" customWidth="1"/>
    <col min="9" max="10" width="15" customWidth="1"/>
  </cols>
  <sheetData>
    <row r="1" spans="1:10" ht="21" x14ac:dyDescent="0.35">
      <c r="A1" s="33" t="s">
        <v>68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x14ac:dyDescent="0.25">
      <c r="A2" s="35" t="s">
        <v>69</v>
      </c>
      <c r="B2" s="34"/>
      <c r="C2" s="34"/>
      <c r="D2" s="34"/>
      <c r="E2" s="34"/>
      <c r="F2" s="34"/>
      <c r="G2" s="34"/>
      <c r="H2" s="34"/>
      <c r="I2" s="34"/>
      <c r="J2" s="34"/>
    </row>
    <row r="4" spans="1:10" x14ac:dyDescent="0.2">
      <c r="B4" s="32" t="s">
        <v>10</v>
      </c>
      <c r="C4" s="32"/>
      <c r="D4" s="32"/>
      <c r="E4" s="32" t="s">
        <v>11</v>
      </c>
      <c r="F4" s="32"/>
      <c r="G4" s="32"/>
      <c r="H4" s="32" t="s">
        <v>12</v>
      </c>
      <c r="I4" s="32"/>
      <c r="J4" s="32"/>
    </row>
    <row r="5" spans="1:10" x14ac:dyDescent="0.2">
      <c r="A5" s="2" t="s">
        <v>13</v>
      </c>
      <c r="B5" s="2" t="s">
        <v>70</v>
      </c>
      <c r="C5" s="2" t="s">
        <v>71</v>
      </c>
      <c r="D5" s="2" t="s">
        <v>72</v>
      </c>
      <c r="E5" s="2" t="s">
        <v>70</v>
      </c>
      <c r="F5" s="2" t="s">
        <v>71</v>
      </c>
      <c r="G5" s="2" t="s">
        <v>72</v>
      </c>
      <c r="H5" s="2" t="s">
        <v>70</v>
      </c>
      <c r="I5" s="2" t="s">
        <v>71</v>
      </c>
      <c r="J5" s="2" t="s">
        <v>72</v>
      </c>
    </row>
    <row r="6" spans="1:10" x14ac:dyDescent="0.2">
      <c r="A6" s="3" t="s">
        <v>18</v>
      </c>
      <c r="B6" s="4">
        <f>SUMIFS(INDEX(course_data, 0, 10), INDEX(course_data, 0, 3), "=201510", INDEX(course_data, 0, 6), "=day")</f>
        <v>0</v>
      </c>
      <c r="C6" s="5">
        <f>IF(B6=0, 0, ((SUMIFS(INDEX(course_data, 0, 11), INDEX(course_data, 0, 3), "=201510", INDEX(course_data, 0, 6), "=day"))/B6))</f>
        <v>0</v>
      </c>
      <c r="D6" s="5">
        <f>IF(B6=0, 0, ((SUMIFS(INDEX(course_data, 0, 13), INDEX(course_data, 0, 3), "=201510", INDEX(course_data, 0, 6), "=day"))/B6))</f>
        <v>0</v>
      </c>
      <c r="E6" s="4">
        <f>SUMIFS(INDEX(course_data, 0, 10), INDEX(course_data, 0, 3), "=201510", INDEX(course_data, 0, 6), "=ex_day")</f>
        <v>0</v>
      </c>
      <c r="F6" s="5">
        <f>IF(E6=0, 0, ((SUMIFS(INDEX(course_data, 0, 11), INDEX(course_data, 0, 3), "=201510", INDEX(course_data, 0, 6), "=ex_day"))/E6))</f>
        <v>0</v>
      </c>
      <c r="G6" s="5">
        <f>IF(E6=0, 0, ((SUMIFS(INDEX(course_data, 0, 13), INDEX(course_data, 0, 3), "=201510", INDEX(course_data, 0, 6), "=ex_day"))/E6))</f>
        <v>0</v>
      </c>
      <c r="H6" s="4">
        <f>SUMIFS(INDEX(course_data, 0, 10), INDEX(course_data, 0, 3), "=201510", INDEX(course_data, 0, 6), "=online")</f>
        <v>0</v>
      </c>
      <c r="I6" s="5">
        <f>IF(H6=0, 0, ((SUMIFS(INDEX(course_data, 0, 11), INDEX(course_data, 0, 3), "=201510", INDEX(course_data, 0, 6), "=online"))/H6))</f>
        <v>0</v>
      </c>
      <c r="J6" s="5">
        <f>IF(H6=0, 0, ((SUMIFS(INDEX(course_data, 0, 13), INDEX(course_data, 0, 3), "=201510", INDEX(course_data, 0, 6), "=online"))/H6))</f>
        <v>0</v>
      </c>
    </row>
    <row r="7" spans="1:10" x14ac:dyDescent="0.2">
      <c r="A7" s="3" t="s">
        <v>19</v>
      </c>
      <c r="B7" s="3">
        <f>SUMIFS(INDEX(course_data, 0, 10), INDEX(course_data, 0, 3), "=201515", INDEX(course_data, 0, 6), "=day")</f>
        <v>0</v>
      </c>
      <c r="C7" s="6">
        <f>IF(B7=0, 0, ((SUMIFS(INDEX(course_data, 0, 11), INDEX(course_data, 0, 3), "=201515", INDEX(course_data, 0, 6), "=day"))/B7))</f>
        <v>0</v>
      </c>
      <c r="D7" s="6">
        <f>IF(B7=0, 0, ((SUMIFS(INDEX(course_data, 0, 13), INDEX(course_data, 0, 3), "=201515", INDEX(course_data, 0, 6), "=day"))/B7))</f>
        <v>0</v>
      </c>
      <c r="E7" s="3">
        <f>SUMIFS(INDEX(course_data, 0, 10), INDEX(course_data, 0, 3), "=201515", INDEX(course_data, 0, 6), "=ex_day")</f>
        <v>0</v>
      </c>
      <c r="F7" s="6">
        <f>IF(E7=0, 0, ((SUMIFS(INDEX(course_data, 0, 11), INDEX(course_data, 0, 3), "=201515", INDEX(course_data, 0, 6), "=ex_day"))/E7))</f>
        <v>0</v>
      </c>
      <c r="G7" s="6">
        <f>IF(E7=0, 0, ((SUMIFS(INDEX(course_data, 0, 13), INDEX(course_data, 0, 3), "=201515", INDEX(course_data, 0, 6), "=ex_day"))/E7))</f>
        <v>0</v>
      </c>
      <c r="H7" s="3">
        <f>SUMIFS(INDEX(course_data, 0, 10), INDEX(course_data, 0, 3), "=201515", INDEX(course_data, 0, 6), "=online")</f>
        <v>0</v>
      </c>
      <c r="I7" s="6">
        <f>IF(H7=0, 0, ((SUMIFS(INDEX(course_data, 0, 11), INDEX(course_data, 0, 3), "=201515", INDEX(course_data, 0, 6), "=online"))/H7))</f>
        <v>0</v>
      </c>
      <c r="J7" s="6">
        <f>IF(H7=0, 0, ((SUMIFS(INDEX(course_data, 0, 13), INDEX(course_data, 0, 3), "=201515", INDEX(course_data, 0, 6), "=online"))/H7))</f>
        <v>0</v>
      </c>
    </row>
    <row r="8" spans="1:10" x14ac:dyDescent="0.2">
      <c r="A8" s="3" t="s">
        <v>20</v>
      </c>
      <c r="B8" s="4">
        <f>SUMIFS(INDEX(course_data, 0, 10), INDEX(course_data, 0, 3), "=201520", INDEX(course_data, 0, 6), "=day")</f>
        <v>0</v>
      </c>
      <c r="C8" s="5">
        <f>IF(B8=0, 0, ((SUMIFS(INDEX(course_data, 0, 11), INDEX(course_data, 0, 3), "=201520", INDEX(course_data, 0, 6), "=day"))/B8))</f>
        <v>0</v>
      </c>
      <c r="D8" s="5">
        <f>IF(B8=0, 0, ((SUMIFS(INDEX(course_data, 0, 13), INDEX(course_data, 0, 3), "=201520", INDEX(course_data, 0, 6), "=day"))/B8))</f>
        <v>0</v>
      </c>
      <c r="E8" s="4">
        <f>SUMIFS(INDEX(course_data, 0, 10), INDEX(course_data, 0, 3), "=201520", INDEX(course_data, 0, 6), "=ex_day")</f>
        <v>0</v>
      </c>
      <c r="F8" s="5">
        <f>IF(E8=0, 0, ((SUMIFS(INDEX(course_data, 0, 11), INDEX(course_data, 0, 3), "=201520", INDEX(course_data, 0, 6), "=ex_day"))/E8))</f>
        <v>0</v>
      </c>
      <c r="G8" s="5">
        <f>IF(E8=0, 0, ((SUMIFS(INDEX(course_data, 0, 13), INDEX(course_data, 0, 3), "=201520", INDEX(course_data, 0, 6), "=ex_day"))/E8))</f>
        <v>0</v>
      </c>
      <c r="H8" s="4">
        <f>SUMIFS(INDEX(course_data, 0, 10), INDEX(course_data, 0, 3), "=201520", INDEX(course_data, 0, 6), "=online")</f>
        <v>0</v>
      </c>
      <c r="I8" s="5">
        <f>IF(H8=0, 0, ((SUMIFS(INDEX(course_data, 0, 11), INDEX(course_data, 0, 3), "=201520", INDEX(course_data, 0, 6), "=online"))/H8))</f>
        <v>0</v>
      </c>
      <c r="J8" s="5">
        <f>IF(H8=0, 0, ((SUMIFS(INDEX(course_data, 0, 13), INDEX(course_data, 0, 3), "=201520", INDEX(course_data, 0, 6), "=online"))/H8))</f>
        <v>0</v>
      </c>
    </row>
    <row r="9" spans="1:10" x14ac:dyDescent="0.2">
      <c r="A9" s="3" t="s">
        <v>21</v>
      </c>
      <c r="B9" s="3">
        <f>SUMIFS(INDEX(course_data, 0, 10), INDEX(course_data, 0, 3), "=201530", INDEX(course_data, 0, 6), "=day")</f>
        <v>0</v>
      </c>
      <c r="C9" s="6">
        <f>IF(B9=0, 0, ((SUMIFS(INDEX(course_data, 0, 11), INDEX(course_data, 0, 3), "=201530", INDEX(course_data, 0, 6), "=day"))/B9))</f>
        <v>0</v>
      </c>
      <c r="D9" s="6">
        <f>IF(B9=0, 0, ((SUMIFS(INDEX(course_data, 0, 13), INDEX(course_data, 0, 3), "=201530", INDEX(course_data, 0, 6), "=day"))/B9))</f>
        <v>0</v>
      </c>
      <c r="E9" s="3">
        <f>SUMIFS(INDEX(course_data, 0, 10), INDEX(course_data, 0, 3), "=201530", INDEX(course_data, 0, 6), "=ex_day")</f>
        <v>0</v>
      </c>
      <c r="F9" s="6">
        <f>IF(E9=0, 0, ((SUMIFS(INDEX(course_data, 0, 11), INDEX(course_data, 0, 3), "=201530", INDEX(course_data, 0, 6), "=ex_day"))/E9))</f>
        <v>0</v>
      </c>
      <c r="G9" s="6">
        <f>IF(E9=0, 0, ((SUMIFS(INDEX(course_data, 0, 13), INDEX(course_data, 0, 3), "=201530", INDEX(course_data, 0, 6), "=ex_day"))/E9))</f>
        <v>0</v>
      </c>
      <c r="H9" s="3">
        <f>SUMIFS(INDEX(course_data, 0, 10), INDEX(course_data, 0, 3), "=201530", INDEX(course_data, 0, 6), "=online")</f>
        <v>0</v>
      </c>
      <c r="I9" s="6">
        <f>IF(H9=0, 0, ((SUMIFS(INDEX(course_data, 0, 11), INDEX(course_data, 0, 3), "=201530", INDEX(course_data, 0, 6), "=online"))/H9))</f>
        <v>0</v>
      </c>
      <c r="J9" s="6">
        <f>IF(H9=0, 0, ((SUMIFS(INDEX(course_data, 0, 13), INDEX(course_data, 0, 3), "=201530", INDEX(course_data, 0, 6), "=online"))/H9))</f>
        <v>0</v>
      </c>
    </row>
    <row r="10" spans="1:10" x14ac:dyDescent="0.2">
      <c r="A10" s="3" t="s">
        <v>22</v>
      </c>
      <c r="B10" s="4">
        <f>SUMIFS(INDEX(course_data, 0, 10), INDEX(course_data, 0, 3), "=201610", INDEX(course_data, 0, 6), "=day")</f>
        <v>0</v>
      </c>
      <c r="C10" s="5">
        <f>IF(B10=0, 0, ((SUMIFS(INDEX(course_data, 0, 11), INDEX(course_data, 0, 3), "=201610", INDEX(course_data, 0, 6), "=day"))/B10))</f>
        <v>0</v>
      </c>
      <c r="D10" s="5">
        <f>IF(B10=0, 0, ((SUMIFS(INDEX(course_data, 0, 13), INDEX(course_data, 0, 3), "=201610", INDEX(course_data, 0, 6), "=day"))/B10))</f>
        <v>0</v>
      </c>
      <c r="E10" s="4">
        <f>SUMIFS(INDEX(course_data, 0, 10), INDEX(course_data, 0, 3), "=201610", INDEX(course_data, 0, 6), "=ex_day")</f>
        <v>0</v>
      </c>
      <c r="F10" s="5">
        <f>IF(E10=0, 0, ((SUMIFS(INDEX(course_data, 0, 11), INDEX(course_data, 0, 3), "=201610", INDEX(course_data, 0, 6), "=ex_day"))/E10))</f>
        <v>0</v>
      </c>
      <c r="G10" s="5">
        <f>IF(E10=0, 0, ((SUMIFS(INDEX(course_data, 0, 13), INDEX(course_data, 0, 3), "=201610", INDEX(course_data, 0, 6), "=ex_day"))/E10))</f>
        <v>0</v>
      </c>
      <c r="H10" s="4">
        <f>SUMIFS(INDEX(course_data, 0, 10), INDEX(course_data, 0, 3), "=201610", INDEX(course_data, 0, 6), "=online")</f>
        <v>0</v>
      </c>
      <c r="I10" s="5">
        <f>IF(H10=0, 0, ((SUMIFS(INDEX(course_data, 0, 11), INDEX(course_data, 0, 3), "=201610", INDEX(course_data, 0, 6), "=online"))/H10))</f>
        <v>0</v>
      </c>
      <c r="J10" s="5">
        <f>IF(H10=0, 0, ((SUMIFS(INDEX(course_data, 0, 13), INDEX(course_data, 0, 3), "=201610", INDEX(course_data, 0, 6), "=online"))/H10))</f>
        <v>0</v>
      </c>
    </row>
    <row r="11" spans="1:10" x14ac:dyDescent="0.2">
      <c r="A11" s="3" t="s">
        <v>23</v>
      </c>
      <c r="B11" s="3">
        <f>SUMIFS(INDEX(course_data, 0, 10), INDEX(course_data, 0, 3), "=201615", INDEX(course_data, 0, 6), "=day")</f>
        <v>0</v>
      </c>
      <c r="C11" s="6">
        <f>IF(B11=0, 0, ((SUMIFS(INDEX(course_data, 0, 11), INDEX(course_data, 0, 3), "=201615", INDEX(course_data, 0, 6), "=day"))/B11))</f>
        <v>0</v>
      </c>
      <c r="D11" s="6">
        <f>IF(B11=0, 0, ((SUMIFS(INDEX(course_data, 0, 13), INDEX(course_data, 0, 3), "=201615", INDEX(course_data, 0, 6), "=day"))/B11))</f>
        <v>0</v>
      </c>
      <c r="E11" s="3">
        <f>SUMIFS(INDEX(course_data, 0, 10), INDEX(course_data, 0, 3), "=201615", INDEX(course_data, 0, 6), "=ex_day")</f>
        <v>0</v>
      </c>
      <c r="F11" s="6">
        <f>IF(E11=0, 0, ((SUMIFS(INDEX(course_data, 0, 11), INDEX(course_data, 0, 3), "=201615", INDEX(course_data, 0, 6), "=ex_day"))/E11))</f>
        <v>0</v>
      </c>
      <c r="G11" s="6">
        <f>IF(E11=0, 0, ((SUMIFS(INDEX(course_data, 0, 13), INDEX(course_data, 0, 3), "=201615", INDEX(course_data, 0, 6), "=ex_day"))/E11))</f>
        <v>0</v>
      </c>
      <c r="H11" s="3">
        <f>SUMIFS(INDEX(course_data, 0, 10), INDEX(course_data, 0, 3), "=201615", INDEX(course_data, 0, 6), "=online")</f>
        <v>0</v>
      </c>
      <c r="I11" s="6">
        <f>IF(H11=0, 0, ((SUMIFS(INDEX(course_data, 0, 11), INDEX(course_data, 0, 3), "=201615", INDEX(course_data, 0, 6), "=online"))/H11))</f>
        <v>0</v>
      </c>
      <c r="J11" s="6">
        <f>IF(H11=0, 0, ((SUMIFS(INDEX(course_data, 0, 13), INDEX(course_data, 0, 3), "=201615", INDEX(course_data, 0, 6), "=online"))/H11))</f>
        <v>0</v>
      </c>
    </row>
    <row r="12" spans="1:10" x14ac:dyDescent="0.2">
      <c r="A12" s="3" t="s">
        <v>24</v>
      </c>
      <c r="B12" s="4">
        <f>SUMIFS(INDEX(course_data, 0, 10), INDEX(course_data, 0, 3), "=201620", INDEX(course_data, 0, 6), "=day")</f>
        <v>0</v>
      </c>
      <c r="C12" s="5">
        <f>IF(B12=0, 0, ((SUMIFS(INDEX(course_data, 0, 11), INDEX(course_data, 0, 3), "=201620", INDEX(course_data, 0, 6), "=day"))/B12))</f>
        <v>0</v>
      </c>
      <c r="D12" s="5">
        <f>IF(B12=0, 0, ((SUMIFS(INDEX(course_data, 0, 13), INDEX(course_data, 0, 3), "=201620", INDEX(course_data, 0, 6), "=day"))/B12))</f>
        <v>0</v>
      </c>
      <c r="E12" s="4">
        <f>SUMIFS(INDEX(course_data, 0, 10), INDEX(course_data, 0, 3), "=201620", INDEX(course_data, 0, 6), "=ex_day")</f>
        <v>0</v>
      </c>
      <c r="F12" s="5">
        <f>IF(E12=0, 0, ((SUMIFS(INDEX(course_data, 0, 11), INDEX(course_data, 0, 3), "=201620", INDEX(course_data, 0, 6), "=ex_day"))/E12))</f>
        <v>0</v>
      </c>
      <c r="G12" s="5">
        <f>IF(E12=0, 0, ((SUMIFS(INDEX(course_data, 0, 13), INDEX(course_data, 0, 3), "=201620", INDEX(course_data, 0, 6), "=ex_day"))/E12))</f>
        <v>0</v>
      </c>
      <c r="H12" s="4">
        <f>SUMIFS(INDEX(course_data, 0, 10), INDEX(course_data, 0, 3), "=201620", INDEX(course_data, 0, 6), "=online")</f>
        <v>0</v>
      </c>
      <c r="I12" s="5">
        <f>IF(H12=0, 0, ((SUMIFS(INDEX(course_data, 0, 11), INDEX(course_data, 0, 3), "=201620", INDEX(course_data, 0, 6), "=online"))/H12))</f>
        <v>0</v>
      </c>
      <c r="J12" s="5">
        <f>IF(H12=0, 0, ((SUMIFS(INDEX(course_data, 0, 13), INDEX(course_data, 0, 3), "=201620", INDEX(course_data, 0, 6), "=online"))/H12))</f>
        <v>0</v>
      </c>
    </row>
    <row r="13" spans="1:10" x14ac:dyDescent="0.2">
      <c r="A13" s="3" t="s">
        <v>25</v>
      </c>
      <c r="B13" s="3">
        <f>SUMIFS(INDEX(course_data, 0, 10), INDEX(course_data, 0, 3), "=201630", INDEX(course_data, 0, 6), "=day")</f>
        <v>0</v>
      </c>
      <c r="C13" s="6">
        <f>IF(B13=0, 0, ((SUMIFS(INDEX(course_data, 0, 11), INDEX(course_data, 0, 3), "=201630", INDEX(course_data, 0, 6), "=day"))/B13))</f>
        <v>0</v>
      </c>
      <c r="D13" s="6">
        <f>IF(B13=0, 0, ((SUMIFS(INDEX(course_data, 0, 13), INDEX(course_data, 0, 3), "=201630", INDEX(course_data, 0, 6), "=day"))/B13))</f>
        <v>0</v>
      </c>
      <c r="E13" s="3">
        <f>SUMIFS(INDEX(course_data, 0, 10), INDEX(course_data, 0, 3), "=201630", INDEX(course_data, 0, 6), "=ex_day")</f>
        <v>0</v>
      </c>
      <c r="F13" s="6">
        <f>IF(E13=0, 0, ((SUMIFS(INDEX(course_data, 0, 11), INDEX(course_data, 0, 3), "=201630", INDEX(course_data, 0, 6), "=ex_day"))/E13))</f>
        <v>0</v>
      </c>
      <c r="G13" s="6">
        <f>IF(E13=0, 0, ((SUMIFS(INDEX(course_data, 0, 13), INDEX(course_data, 0, 3), "=201630", INDEX(course_data, 0, 6), "=ex_day"))/E13))</f>
        <v>0</v>
      </c>
      <c r="H13" s="3">
        <f>SUMIFS(INDEX(course_data, 0, 10), INDEX(course_data, 0, 3), "=201630", INDEX(course_data, 0, 6), "=online")</f>
        <v>0</v>
      </c>
      <c r="I13" s="6">
        <f>IF(H13=0, 0, ((SUMIFS(INDEX(course_data, 0, 11), INDEX(course_data, 0, 3), "=201630", INDEX(course_data, 0, 6), "=online"))/H13))</f>
        <v>0</v>
      </c>
      <c r="J13" s="6">
        <f>IF(H13=0, 0, ((SUMIFS(INDEX(course_data, 0, 13), INDEX(course_data, 0, 3), "=201630", INDEX(course_data, 0, 6), "=online"))/H13))</f>
        <v>0</v>
      </c>
    </row>
    <row r="14" spans="1:10" x14ac:dyDescent="0.2">
      <c r="A14" s="3" t="s">
        <v>26</v>
      </c>
      <c r="B14" s="4">
        <f>SUMIFS(INDEX(course_data, 0, 10), INDEX(course_data, 0, 3), "=201710", INDEX(course_data, 0, 6), "=day")</f>
        <v>753</v>
      </c>
      <c r="C14" s="5">
        <f>IF(B14=0, 0, ((SUMIFS(INDEX(course_data, 0, 11), INDEX(course_data, 0, 3), "=201710", INDEX(course_data, 0, 6), "=day"))/B14))</f>
        <v>0.84063745019920322</v>
      </c>
      <c r="D14" s="5">
        <f>IF(B14=0, 0, ((SUMIFS(INDEX(course_data, 0, 13), INDEX(course_data, 0, 3), "=201710", INDEX(course_data, 0, 6), "=day"))/B14))</f>
        <v>0.89508632138114208</v>
      </c>
      <c r="E14" s="4">
        <f>SUMIFS(INDEX(course_data, 0, 10), INDEX(course_data, 0, 3), "=201710", INDEX(course_data, 0, 6), "=ex_day")</f>
        <v>160</v>
      </c>
      <c r="F14" s="5">
        <f>IF(E14=0, 0, ((SUMIFS(INDEX(course_data, 0, 11), INDEX(course_data, 0, 3), "=201710", INDEX(course_data, 0, 6), "=ex_day"))/E14))</f>
        <v>0.73750000000000004</v>
      </c>
      <c r="G14" s="5">
        <f>IF(E14=0, 0, ((SUMIFS(INDEX(course_data, 0, 13), INDEX(course_data, 0, 3), "=201710", INDEX(course_data, 0, 6), "=ex_day"))/E14))</f>
        <v>0.85</v>
      </c>
      <c r="H14" s="4">
        <f>SUMIFS(INDEX(course_data, 0, 10), INDEX(course_data, 0, 3), "=201710", INDEX(course_data, 0, 6), "=online")</f>
        <v>0</v>
      </c>
      <c r="I14" s="5">
        <f>IF(H14=0, 0, ((SUMIFS(INDEX(course_data, 0, 11), INDEX(course_data, 0, 3), "=201710", INDEX(course_data, 0, 6), "=online"))/H14))</f>
        <v>0</v>
      </c>
      <c r="J14" s="5">
        <f>IF(H14=0, 0, ((SUMIFS(INDEX(course_data, 0, 13), INDEX(course_data, 0, 3), "=201710", INDEX(course_data, 0, 6), "=online"))/H14))</f>
        <v>0</v>
      </c>
    </row>
    <row r="15" spans="1:10" x14ac:dyDescent="0.2">
      <c r="A15" s="3" t="s">
        <v>27</v>
      </c>
      <c r="B15" s="3">
        <f>SUMIFS(INDEX(course_data, 0, 10), INDEX(course_data, 0, 3), "=201715", INDEX(course_data, 0, 6), "=day")</f>
        <v>123</v>
      </c>
      <c r="C15" s="6">
        <f>IF(B15=0, 0, ((SUMIFS(INDEX(course_data, 0, 11), INDEX(course_data, 0, 3), "=201715", INDEX(course_data, 0, 6), "=day"))/B15))</f>
        <v>0.94308943089430897</v>
      </c>
      <c r="D15" s="6">
        <f>IF(B15=0, 0, ((SUMIFS(INDEX(course_data, 0, 13), INDEX(course_data, 0, 3), "=201715", INDEX(course_data, 0, 6), "=day"))/B15))</f>
        <v>0.95121951219512191</v>
      </c>
      <c r="E15" s="3">
        <f>SUMIFS(INDEX(course_data, 0, 10), INDEX(course_data, 0, 3), "=201715", INDEX(course_data, 0, 6), "=ex_day")</f>
        <v>0</v>
      </c>
      <c r="F15" s="6">
        <f>IF(E15=0, 0, ((SUMIFS(INDEX(course_data, 0, 11), INDEX(course_data, 0, 3), "=201715", INDEX(course_data, 0, 6), "=ex_day"))/E15))</f>
        <v>0</v>
      </c>
      <c r="G15" s="6">
        <f>IF(E15=0, 0, ((SUMIFS(INDEX(course_data, 0, 13), INDEX(course_data, 0, 3), "=201715", INDEX(course_data, 0, 6), "=ex_day"))/E15))</f>
        <v>0</v>
      </c>
      <c r="H15" s="3">
        <f>SUMIFS(INDEX(course_data, 0, 10), INDEX(course_data, 0, 3), "=201715", INDEX(course_data, 0, 6), "=online")</f>
        <v>0</v>
      </c>
      <c r="I15" s="6">
        <f>IF(H15=0, 0, ((SUMIFS(INDEX(course_data, 0, 11), INDEX(course_data, 0, 3), "=201715", INDEX(course_data, 0, 6), "=online"))/H15))</f>
        <v>0</v>
      </c>
      <c r="J15" s="6">
        <f>IF(H15=0, 0, ((SUMIFS(INDEX(course_data, 0, 13), INDEX(course_data, 0, 3), "=201715", INDEX(course_data, 0, 6), "=online"))/H15))</f>
        <v>0</v>
      </c>
    </row>
    <row r="16" spans="1:10" x14ac:dyDescent="0.2">
      <c r="A16" s="3" t="s">
        <v>28</v>
      </c>
      <c r="B16" s="4">
        <f>SUMIFS(INDEX(course_data, 0, 10), INDEX(course_data, 0, 3), "=201720", INDEX(course_data, 0, 6), "=day")</f>
        <v>682</v>
      </c>
      <c r="C16" s="5">
        <f>IF(B16=0, 0, ((SUMIFS(INDEX(course_data, 0, 11), INDEX(course_data, 0, 3), "=201720", INDEX(course_data, 0, 6), "=day"))/B16))</f>
        <v>0.82111436950146632</v>
      </c>
      <c r="D16" s="5">
        <f>IF(B16=0, 0, ((SUMIFS(INDEX(course_data, 0, 13), INDEX(course_data, 0, 3), "=201720", INDEX(course_data, 0, 6), "=day"))/B16))</f>
        <v>0.90029325513196479</v>
      </c>
      <c r="E16" s="4">
        <f>SUMIFS(INDEX(course_data, 0, 10), INDEX(course_data, 0, 3), "=201720", INDEX(course_data, 0, 6), "=ex_day")</f>
        <v>140</v>
      </c>
      <c r="F16" s="5">
        <f>IF(E16=0, 0, ((SUMIFS(INDEX(course_data, 0, 11), INDEX(course_data, 0, 3), "=201720", INDEX(course_data, 0, 6), "=ex_day"))/E16))</f>
        <v>0.67142857142857137</v>
      </c>
      <c r="G16" s="5">
        <f>IF(E16=0, 0, ((SUMIFS(INDEX(course_data, 0, 13), INDEX(course_data, 0, 3), "=201720", INDEX(course_data, 0, 6), "=ex_day"))/E16))</f>
        <v>0.80714285714285716</v>
      </c>
      <c r="H16" s="4">
        <f>SUMIFS(INDEX(course_data, 0, 10), INDEX(course_data, 0, 3), "=201720", INDEX(course_data, 0, 6), "=online")</f>
        <v>0</v>
      </c>
      <c r="I16" s="5">
        <f>IF(H16=0, 0, ((SUMIFS(INDEX(course_data, 0, 11), INDEX(course_data, 0, 3), "=201720", INDEX(course_data, 0, 6), "=online"))/H16))</f>
        <v>0</v>
      </c>
      <c r="J16" s="5">
        <f>IF(H16=0, 0, ((SUMIFS(INDEX(course_data, 0, 13), INDEX(course_data, 0, 3), "=201720", INDEX(course_data, 0, 6), "=online"))/H16))</f>
        <v>0</v>
      </c>
    </row>
    <row r="17" spans="1:10" x14ac:dyDescent="0.2">
      <c r="A17" s="3" t="s">
        <v>29</v>
      </c>
      <c r="B17" s="3">
        <f>SUMIFS(INDEX(course_data, 0, 10), INDEX(course_data, 0, 3), "=201730", INDEX(course_data, 0, 6), "=day")</f>
        <v>175</v>
      </c>
      <c r="C17" s="6">
        <f>IF(B17=0, 0, ((SUMIFS(INDEX(course_data, 0, 11), INDEX(course_data, 0, 3), "=201730", INDEX(course_data, 0, 6), "=day"))/B17))</f>
        <v>0.96571428571428575</v>
      </c>
      <c r="D17" s="6">
        <f>IF(B17=0, 0, ((SUMIFS(INDEX(course_data, 0, 13), INDEX(course_data, 0, 3), "=201730", INDEX(course_data, 0, 6), "=day"))/B17))</f>
        <v>0.98285714285714287</v>
      </c>
      <c r="E17" s="3">
        <f>SUMIFS(INDEX(course_data, 0, 10), INDEX(course_data, 0, 3), "=201730", INDEX(course_data, 0, 6), "=ex_day")</f>
        <v>21</v>
      </c>
      <c r="F17" s="6">
        <f>IF(E17=0, 0, ((SUMIFS(INDEX(course_data, 0, 11), INDEX(course_data, 0, 3), "=201730", INDEX(course_data, 0, 6), "=ex_day"))/E17))</f>
        <v>0.90476190476190477</v>
      </c>
      <c r="G17" s="6">
        <f>IF(E17=0, 0, ((SUMIFS(INDEX(course_data, 0, 13), INDEX(course_data, 0, 3), "=201730", INDEX(course_data, 0, 6), "=ex_day"))/E17))</f>
        <v>0.90476190476190477</v>
      </c>
      <c r="H17" s="3">
        <f>SUMIFS(INDEX(course_data, 0, 10), INDEX(course_data, 0, 3), "=201730", INDEX(course_data, 0, 6), "=online")</f>
        <v>0</v>
      </c>
      <c r="I17" s="6">
        <f>IF(H17=0, 0, ((SUMIFS(INDEX(course_data, 0, 11), INDEX(course_data, 0, 3), "=201730", INDEX(course_data, 0, 6), "=online"))/H17))</f>
        <v>0</v>
      </c>
      <c r="J17" s="6">
        <f>IF(H17=0, 0, ((SUMIFS(INDEX(course_data, 0, 13), INDEX(course_data, 0, 3), "=201730", INDEX(course_data, 0, 6), "=online"))/H17))</f>
        <v>0</v>
      </c>
    </row>
    <row r="18" spans="1:10" x14ac:dyDescent="0.2">
      <c r="A18" s="7" t="s">
        <v>30</v>
      </c>
      <c r="B18" s="8">
        <f>SUM(B6:B17)</f>
        <v>1733</v>
      </c>
      <c r="C18" s="9">
        <f>IF(B18=0, 0, ((B6*C6)+(B7*C7)+(B8*C8)+(B9*C9)+(B10*C10)+(B11*C11)+(B12*C12)+(B13*C13)+(B14*C14)+(B15*C15)+(B16*C16)+(B17*C17))/B18)</f>
        <v>0.85285631852279287</v>
      </c>
      <c r="D18" s="9">
        <f>IF(B18=0, 0, ((B6*D6)+(B7*D7)+(B8*D8)+(B9*D9)+(B10*D10)+(B11*D11)+(B12*D12)+(B13*D13)+(B14*D14)+(B15*D15)+(B16*D16)+(B17*D17))/B18)</f>
        <v>0.90998268897864976</v>
      </c>
      <c r="E18" s="8">
        <f>SUM(E6:E17)</f>
        <v>321</v>
      </c>
      <c r="F18" s="9">
        <f>IF(E18=0, 0, ((E6*F6)+(E7*F7)+(E8*F8)+(E9*F9)+(E10*F10)+(E11*F11)+(E12*F12)+(E13*F13)+(E14*F14)+(E15*F15)+(E16*F16)+(E17*F17))/E18)</f>
        <v>0.71962616822429903</v>
      </c>
      <c r="G18" s="9">
        <f>IF(E18=0, 0, ((E6*G6)+(E7*G7)+(E8*G8)+(E9*G9)+(E10*G10)+(E11*G11)+(E12*G12)+(E13*G13)+(E14*G14)+(E15*G15)+(E16*G16)+(E17*G17))/E18)</f>
        <v>0.83489096573208721</v>
      </c>
      <c r="H18" s="8">
        <f>SUM(H6:H17)</f>
        <v>0</v>
      </c>
      <c r="I18" s="9">
        <f>IF(H18=0, 0, ((H6*I6)+(H7*I7)+(H8*I8)+(H9*I9)+(H10*I10)+(H11*I11)+(H12*I12)+(H13*I13)+(H14*I14)+(H15*I15)+(H16*I16)+(H17*I17))/H18)</f>
        <v>0</v>
      </c>
      <c r="J18" s="9">
        <f>IF(H18=0, 0, ((H6*J6)+(H7*J7)+(H8*J8)+(H9*J9)+(H10*J10)+(H11*J11)+(H12*J12)+(H13*J13)+(H14*J14)+(H15*J15)+(H16*J16)+(H17*J17))/H18)</f>
        <v>0</v>
      </c>
    </row>
    <row r="20" spans="1:10" x14ac:dyDescent="0.2">
      <c r="B20" s="32" t="s">
        <v>10</v>
      </c>
      <c r="C20" s="32"/>
      <c r="D20" s="32"/>
      <c r="E20" s="32" t="s">
        <v>11</v>
      </c>
      <c r="F20" s="32"/>
      <c r="G20" s="32"/>
      <c r="H20" s="32" t="s">
        <v>12</v>
      </c>
      <c r="I20" s="32"/>
      <c r="J20" s="32"/>
    </row>
    <row r="21" spans="1:10" x14ac:dyDescent="0.2">
      <c r="A21" s="2" t="s">
        <v>31</v>
      </c>
      <c r="B21" s="2" t="s">
        <v>70</v>
      </c>
      <c r="C21" s="2" t="s">
        <v>71</v>
      </c>
      <c r="D21" s="2" t="s">
        <v>72</v>
      </c>
      <c r="E21" s="2" t="s">
        <v>70</v>
      </c>
      <c r="F21" s="2" t="s">
        <v>71</v>
      </c>
      <c r="G21" s="2" t="s">
        <v>72</v>
      </c>
      <c r="H21" s="2" t="s">
        <v>70</v>
      </c>
      <c r="I21" s="2" t="s">
        <v>71</v>
      </c>
      <c r="J21" s="2" t="s">
        <v>72</v>
      </c>
    </row>
    <row r="22" spans="1:10" x14ac:dyDescent="0.2">
      <c r="A22" s="3" t="s">
        <v>57</v>
      </c>
      <c r="B22" s="4">
        <f>SUMIFS(INDEX(course_data, 0, 10), INDEX(course_data, 0, 1), "=2014-2015", INDEX(course_data, 0, 6), "=day")</f>
        <v>0</v>
      </c>
      <c r="C22" s="5">
        <f>IF(B22=0, 0, ((SUMIFS(INDEX(course_data, 0, 11), INDEX(course_data, 0, 1), "=2014-2015", INDEX(course_data, 0, 6), "=day"))/B22))</f>
        <v>0</v>
      </c>
      <c r="D22" s="5">
        <f>IF(B22=0, 0, ((SUMIFS(INDEX(course_data, 0, 13), INDEX(course_data, 0, 1), "=2014-2015", INDEX(course_data, 0, 6), "=day"))/B22))</f>
        <v>0</v>
      </c>
      <c r="E22" s="4">
        <f>SUMIFS(INDEX(course_data, 0, 10), INDEX(course_data, 0, 1), "=2014-2015", INDEX(course_data, 0, 6), "=ex_day")</f>
        <v>0</v>
      </c>
      <c r="F22" s="5">
        <f>IF(E22=0, 0, ((SUMIFS(INDEX(course_data, 0, 11), INDEX(course_data, 0, 1), "=2014-2015", INDEX(course_data, 0, 6), "=ex_day"))/E22))</f>
        <v>0</v>
      </c>
      <c r="G22" s="5">
        <f>IF(E22=0, 0, ((SUMIFS(INDEX(course_data, 0, 13), INDEX(course_data, 0, 1), "=2014-2015", INDEX(course_data, 0, 6), "=ex_day"))/E22))</f>
        <v>0</v>
      </c>
      <c r="H22" s="4">
        <f>SUMIFS(INDEX(course_data, 0, 10), INDEX(course_data, 0, 1), "=2014-2015", INDEX(course_data, 0, 6), "=online")</f>
        <v>0</v>
      </c>
      <c r="I22" s="5">
        <f>IF(H22=0, 0, ((SUMIFS(INDEX(course_data, 0, 11), INDEX(course_data, 0, 1), "=2014-2015", INDEX(course_data, 0, 6), "=online"))/H22))</f>
        <v>0</v>
      </c>
      <c r="J22" s="5">
        <f>IF(H22=0, 0, ((SUMIFS(INDEX(course_data, 0, 13), INDEX(course_data, 0, 1), "=2014-2015", INDEX(course_data, 0, 6), "=online"))/H22))</f>
        <v>0</v>
      </c>
    </row>
    <row r="23" spans="1:10" x14ac:dyDescent="0.2">
      <c r="A23" s="3" t="s">
        <v>58</v>
      </c>
      <c r="B23" s="3">
        <f>SUMIFS(INDEX(course_data, 0, 10), INDEX(course_data, 0, 1), "=2015-2016", INDEX(course_data, 0, 6), "=day")</f>
        <v>0</v>
      </c>
      <c r="C23" s="6">
        <f>IF(B23=0, 0, ((SUMIFS(INDEX(course_data, 0, 11), INDEX(course_data, 0, 1), "=2015-2016", INDEX(course_data, 0, 6), "=day"))/B23))</f>
        <v>0</v>
      </c>
      <c r="D23" s="6">
        <f>IF(B23=0, 0, ((SUMIFS(INDEX(course_data, 0, 13), INDEX(course_data, 0, 1), "=2015-2016", INDEX(course_data, 0, 6), "=day"))/B23))</f>
        <v>0</v>
      </c>
      <c r="E23" s="3">
        <f>SUMIFS(INDEX(course_data, 0, 10), INDEX(course_data, 0, 1), "=2015-2016", INDEX(course_data, 0, 6), "=ex_day")</f>
        <v>0</v>
      </c>
      <c r="F23" s="6">
        <f>IF(E23=0, 0, ((SUMIFS(INDEX(course_data, 0, 11), INDEX(course_data, 0, 1), "=2015-2016", INDEX(course_data, 0, 6), "=ex_day"))/E23))</f>
        <v>0</v>
      </c>
      <c r="G23" s="6">
        <f>IF(E23=0, 0, ((SUMIFS(INDEX(course_data, 0, 13), INDEX(course_data, 0, 1), "=2015-2016", INDEX(course_data, 0, 6), "=ex_day"))/E23))</f>
        <v>0</v>
      </c>
      <c r="H23" s="3">
        <f>SUMIFS(INDEX(course_data, 0, 10), INDEX(course_data, 0, 1), "=2015-2016", INDEX(course_data, 0, 6), "=online")</f>
        <v>0</v>
      </c>
      <c r="I23" s="6">
        <f>IF(H23=0, 0, ((SUMIFS(INDEX(course_data, 0, 11), INDEX(course_data, 0, 1), "=2015-2016", INDEX(course_data, 0, 6), "=online"))/H23))</f>
        <v>0</v>
      </c>
      <c r="J23" s="6">
        <f>IF(H23=0, 0, ((SUMIFS(INDEX(course_data, 0, 13), INDEX(course_data, 0, 1), "=2015-2016", INDEX(course_data, 0, 6), "=online"))/H23))</f>
        <v>0</v>
      </c>
    </row>
    <row r="24" spans="1:10" x14ac:dyDescent="0.2">
      <c r="A24" s="3" t="s">
        <v>59</v>
      </c>
      <c r="B24" s="4">
        <f>SUMIFS(INDEX(course_data, 0, 10), INDEX(course_data, 0, 1), "=2016-2017", INDEX(course_data, 0, 6), "=day")</f>
        <v>1733</v>
      </c>
      <c r="C24" s="5">
        <f>IF(B24=0, 0, ((SUMIFS(INDEX(course_data, 0, 11), INDEX(course_data, 0, 1), "=2016-2017", INDEX(course_data, 0, 6), "=day"))/B24))</f>
        <v>0.85285631852279287</v>
      </c>
      <c r="D24" s="5">
        <f>IF(B24=0, 0, ((SUMIFS(INDEX(course_data, 0, 13), INDEX(course_data, 0, 1), "=2016-2017", INDEX(course_data, 0, 6), "=day"))/B24))</f>
        <v>0.90998268897864976</v>
      </c>
      <c r="E24" s="4">
        <f>SUMIFS(INDEX(course_data, 0, 10), INDEX(course_data, 0, 1), "=2016-2017", INDEX(course_data, 0, 6), "=ex_day")</f>
        <v>321</v>
      </c>
      <c r="F24" s="5">
        <f>IF(E24=0, 0, ((SUMIFS(INDEX(course_data, 0, 11), INDEX(course_data, 0, 1), "=2016-2017", INDEX(course_data, 0, 6), "=ex_day"))/E24))</f>
        <v>0.71962616822429903</v>
      </c>
      <c r="G24" s="5">
        <f>IF(E24=0, 0, ((SUMIFS(INDEX(course_data, 0, 13), INDEX(course_data, 0, 1), "=2016-2017", INDEX(course_data, 0, 6), "=ex_day"))/E24))</f>
        <v>0.83489096573208721</v>
      </c>
      <c r="H24" s="4">
        <f>SUMIFS(INDEX(course_data, 0, 10), INDEX(course_data, 0, 1), "=2016-2017", INDEX(course_data, 0, 6), "=online")</f>
        <v>0</v>
      </c>
      <c r="I24" s="5">
        <f>IF(H24=0, 0, ((SUMIFS(INDEX(course_data, 0, 11), INDEX(course_data, 0, 1), "=2016-2017", INDEX(course_data, 0, 6), "=online"))/H24))</f>
        <v>0</v>
      </c>
      <c r="J24" s="5">
        <f>IF(H24=0, 0, ((SUMIFS(INDEX(course_data, 0, 13), INDEX(course_data, 0, 1), "=2016-2017", INDEX(course_data, 0, 6), "=online"))/H24))</f>
        <v>0</v>
      </c>
    </row>
    <row r="25" spans="1:10" x14ac:dyDescent="0.2">
      <c r="A25" s="7" t="s">
        <v>30</v>
      </c>
      <c r="B25" s="8">
        <f>SUM(B22:B24)</f>
        <v>1733</v>
      </c>
      <c r="C25" s="9">
        <f>IF(B25=0, 0, ((B22*C22)+(B23*C23)+(B24*C24))/B25)</f>
        <v>0.85285631852279287</v>
      </c>
      <c r="D25" s="9">
        <f>IF(B25=0, 0, ((B22*D22)+(B23*D23)+(B24*D24))/B25)</f>
        <v>0.90998268897864976</v>
      </c>
      <c r="E25" s="8">
        <f>SUM(E22:E24)</f>
        <v>321</v>
      </c>
      <c r="F25" s="9">
        <f>IF(E25=0, 0, ((E22*F22)+(E23*F23)+(E24*F24))/E25)</f>
        <v>0.71962616822429903</v>
      </c>
      <c r="G25" s="9">
        <f>IF(E25=0, 0, ((E22*G22)+(E23*G23)+(E24*G24))/E25)</f>
        <v>0.83489096573208721</v>
      </c>
      <c r="H25" s="8">
        <f>SUM(H22:H24)</f>
        <v>0</v>
      </c>
      <c r="I25" s="9">
        <f>IF(H25=0, 0, ((H22*I22)+(H23*I23)+(H24*I24))/H25)</f>
        <v>0</v>
      </c>
      <c r="J25" s="9">
        <f>IF(H25=0, 0, ((H22*J22)+(H23*J23)+(H24*J24))/H25)</f>
        <v>0</v>
      </c>
    </row>
    <row r="28" spans="1:10" ht="21" x14ac:dyDescent="0.35">
      <c r="A28" s="33" t="s">
        <v>35</v>
      </c>
      <c r="B28" s="34"/>
      <c r="C28" s="34"/>
      <c r="D28" s="34"/>
      <c r="E28" s="34"/>
      <c r="F28" s="34"/>
      <c r="G28" s="34"/>
      <c r="H28" s="34"/>
      <c r="I28" s="34"/>
      <c r="J28" s="34"/>
    </row>
    <row r="30" spans="1:10" x14ac:dyDescent="0.2">
      <c r="A30" s="29" t="s">
        <v>36</v>
      </c>
      <c r="B30" s="30"/>
      <c r="C30" s="31" t="s">
        <v>37</v>
      </c>
      <c r="D30" s="31"/>
      <c r="E30" s="31"/>
      <c r="F30" s="31"/>
      <c r="G30" s="31"/>
      <c r="H30" s="31"/>
      <c r="I30" s="31"/>
      <c r="J30" s="31"/>
    </row>
    <row r="31" spans="1:10" x14ac:dyDescent="0.2">
      <c r="A31" s="29" t="s">
        <v>38</v>
      </c>
      <c r="B31" s="30"/>
      <c r="C31" s="31" t="s">
        <v>39</v>
      </c>
      <c r="D31" s="31"/>
      <c r="E31" s="31"/>
      <c r="F31" s="31"/>
      <c r="G31" s="31"/>
      <c r="H31" s="31"/>
      <c r="I31" s="31"/>
      <c r="J31" s="31"/>
    </row>
    <row r="32" spans="1:10" x14ac:dyDescent="0.2">
      <c r="A32" s="29" t="s">
        <v>40</v>
      </c>
      <c r="B32" s="30"/>
      <c r="C32" s="31" t="s">
        <v>41</v>
      </c>
      <c r="D32" s="31"/>
      <c r="E32" s="31"/>
      <c r="F32" s="31"/>
      <c r="G32" s="31"/>
      <c r="H32" s="31"/>
      <c r="I32" s="31"/>
      <c r="J32" s="31"/>
    </row>
    <row r="33" spans="1:10" x14ac:dyDescent="0.2">
      <c r="A33" s="29" t="s">
        <v>42</v>
      </c>
      <c r="B33" s="30"/>
      <c r="C33" s="31" t="s">
        <v>43</v>
      </c>
      <c r="D33" s="31"/>
      <c r="E33" s="31"/>
      <c r="F33" s="31"/>
      <c r="G33" s="31"/>
      <c r="H33" s="31"/>
      <c r="I33" s="31"/>
      <c r="J33" s="31"/>
    </row>
    <row r="34" spans="1:10" x14ac:dyDescent="0.2">
      <c r="A34" s="29" t="s">
        <v>48</v>
      </c>
      <c r="B34" s="30"/>
      <c r="C34" s="31" t="s">
        <v>49</v>
      </c>
      <c r="D34" s="31"/>
      <c r="E34" s="31"/>
      <c r="F34" s="31"/>
      <c r="G34" s="31"/>
      <c r="H34" s="31"/>
      <c r="I34" s="31"/>
      <c r="J34" s="31"/>
    </row>
    <row r="35" spans="1:10" x14ac:dyDescent="0.2">
      <c r="A35" s="29" t="s">
        <v>73</v>
      </c>
      <c r="B35" s="30"/>
      <c r="C35" s="31" t="s">
        <v>74</v>
      </c>
      <c r="D35" s="31"/>
      <c r="E35" s="31"/>
      <c r="F35" s="31"/>
      <c r="G35" s="31"/>
      <c r="H35" s="31"/>
      <c r="I35" s="31"/>
      <c r="J35" s="31"/>
    </row>
    <row r="36" spans="1:10" x14ac:dyDescent="0.2">
      <c r="A36" s="29" t="s">
        <v>75</v>
      </c>
      <c r="B36" s="30"/>
      <c r="C36" s="31" t="s">
        <v>76</v>
      </c>
      <c r="D36" s="31"/>
      <c r="E36" s="31"/>
      <c r="F36" s="31"/>
      <c r="G36" s="31"/>
      <c r="H36" s="31"/>
      <c r="I36" s="31"/>
      <c r="J36" s="31"/>
    </row>
  </sheetData>
  <sheetProtection formatCells="0" formatColumns="0" formatRows="0" insertColumns="0" insertRows="0" insertHyperlinks="0" deleteColumns="0" deleteRows="0" sort="0" autoFilter="0" pivotTables="0"/>
  <mergeCells count="23"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ageMargins left="0.4" right="0.4" top="0.6" bottom="0.6" header="0.3" footer="0.3"/>
  <pageSetup orientation="landscape"/>
  <headerFooter>
    <oddHeader>&amp;L&amp;B2017-2018 IVC Research Report for COMM&amp;RPrinted on &amp;D</oddHeader>
    <oddFooter>&amp;L&amp;BGenerated By: Office of Institutional Research&amp;RPage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A31" sqref="A31"/>
    </sheetView>
  </sheetViews>
  <sheetFormatPr defaultRowHeight="12.75" x14ac:dyDescent="0.2"/>
  <cols>
    <col min="1" max="1" width="16" customWidth="1"/>
    <col min="2" max="2" width="6" customWidth="1"/>
    <col min="3" max="4" width="10" customWidth="1"/>
    <col min="5" max="5" width="6" customWidth="1"/>
    <col min="6" max="7" width="10" customWidth="1"/>
    <col min="8" max="8" width="6" customWidth="1"/>
    <col min="9" max="10" width="10" customWidth="1"/>
    <col min="11" max="11" width="5" customWidth="1"/>
    <col min="12" max="13" width="10" customWidth="1"/>
    <col min="14" max="14" width="5" customWidth="1"/>
    <col min="15" max="16" width="10" customWidth="1"/>
  </cols>
  <sheetData>
    <row r="1" spans="1:16" ht="21" x14ac:dyDescent="0.35">
      <c r="A1" s="33" t="s">
        <v>77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5.75" x14ac:dyDescent="0.25">
      <c r="A2" s="35" t="s">
        <v>78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4" spans="1:16" x14ac:dyDescent="0.2">
      <c r="B4" s="32" t="s">
        <v>79</v>
      </c>
      <c r="C4" s="32"/>
      <c r="D4" s="32"/>
      <c r="E4" s="32" t="s">
        <v>80</v>
      </c>
      <c r="F4" s="32"/>
      <c r="G4" s="32"/>
      <c r="H4" s="32" t="s">
        <v>81</v>
      </c>
      <c r="I4" s="32"/>
      <c r="J4" s="32"/>
      <c r="K4" s="32" t="s">
        <v>82</v>
      </c>
      <c r="L4" s="32"/>
      <c r="M4" s="32"/>
      <c r="N4" s="32" t="s">
        <v>83</v>
      </c>
      <c r="O4" s="32"/>
      <c r="P4" s="32"/>
    </row>
    <row r="5" spans="1:16" x14ac:dyDescent="0.2">
      <c r="A5" s="2" t="s">
        <v>13</v>
      </c>
      <c r="B5" s="2" t="s">
        <v>84</v>
      </c>
      <c r="C5" s="2" t="s">
        <v>85</v>
      </c>
      <c r="D5" s="2" t="s">
        <v>86</v>
      </c>
      <c r="E5" s="2" t="s">
        <v>84</v>
      </c>
      <c r="F5" s="2" t="s">
        <v>85</v>
      </c>
      <c r="G5" s="2" t="s">
        <v>86</v>
      </c>
      <c r="H5" s="2" t="s">
        <v>84</v>
      </c>
      <c r="I5" s="2" t="s">
        <v>85</v>
      </c>
      <c r="J5" s="2" t="s">
        <v>86</v>
      </c>
      <c r="K5" s="2" t="s">
        <v>84</v>
      </c>
      <c r="L5" s="2" t="s">
        <v>85</v>
      </c>
      <c r="M5" s="2" t="s">
        <v>86</v>
      </c>
      <c r="N5" s="2" t="s">
        <v>84</v>
      </c>
      <c r="O5" s="2" t="s">
        <v>85</v>
      </c>
      <c r="P5" s="2" t="s">
        <v>86</v>
      </c>
    </row>
    <row r="6" spans="1:16" x14ac:dyDescent="0.2">
      <c r="A6" s="3" t="s">
        <v>18</v>
      </c>
      <c r="B6" s="4">
        <v>0</v>
      </c>
      <c r="C6" s="5">
        <v>0</v>
      </c>
      <c r="D6" s="5">
        <v>0</v>
      </c>
      <c r="E6" s="4">
        <v>0</v>
      </c>
      <c r="F6" s="5">
        <v>0</v>
      </c>
      <c r="G6" s="5">
        <v>0</v>
      </c>
      <c r="H6" s="4">
        <v>0</v>
      </c>
      <c r="I6" s="5">
        <v>0</v>
      </c>
      <c r="J6" s="5">
        <v>0</v>
      </c>
      <c r="K6" s="4">
        <v>0</v>
      </c>
      <c r="L6" s="5">
        <v>0</v>
      </c>
      <c r="M6" s="5">
        <v>0</v>
      </c>
      <c r="N6" s="4">
        <v>0</v>
      </c>
      <c r="O6" s="5">
        <v>0</v>
      </c>
      <c r="P6" s="5">
        <v>0</v>
      </c>
    </row>
    <row r="7" spans="1:16" x14ac:dyDescent="0.2">
      <c r="A7" s="3" t="s">
        <v>19</v>
      </c>
      <c r="B7" s="3">
        <v>0</v>
      </c>
      <c r="C7" s="6">
        <v>0</v>
      </c>
      <c r="D7" s="6">
        <v>0</v>
      </c>
      <c r="E7" s="3">
        <v>0</v>
      </c>
      <c r="F7" s="6">
        <v>0</v>
      </c>
      <c r="G7" s="6">
        <v>0</v>
      </c>
      <c r="H7" s="3">
        <v>0</v>
      </c>
      <c r="I7" s="6">
        <v>0</v>
      </c>
      <c r="J7" s="6">
        <v>0</v>
      </c>
      <c r="K7" s="3">
        <v>0</v>
      </c>
      <c r="L7" s="6">
        <v>0</v>
      </c>
      <c r="M7" s="6">
        <v>0</v>
      </c>
      <c r="N7" s="3">
        <v>0</v>
      </c>
      <c r="O7" s="6">
        <v>0</v>
      </c>
      <c r="P7" s="6">
        <v>0</v>
      </c>
    </row>
    <row r="8" spans="1:16" x14ac:dyDescent="0.2">
      <c r="A8" s="3" t="s">
        <v>20</v>
      </c>
      <c r="B8" s="4">
        <v>0</v>
      </c>
      <c r="C8" s="5">
        <v>0</v>
      </c>
      <c r="D8" s="5">
        <v>0</v>
      </c>
      <c r="E8" s="4">
        <v>0</v>
      </c>
      <c r="F8" s="5">
        <v>0</v>
      </c>
      <c r="G8" s="5">
        <v>0</v>
      </c>
      <c r="H8" s="4">
        <v>0</v>
      </c>
      <c r="I8" s="5">
        <v>0</v>
      </c>
      <c r="J8" s="5">
        <v>0</v>
      </c>
      <c r="K8" s="4">
        <v>0</v>
      </c>
      <c r="L8" s="5">
        <v>0</v>
      </c>
      <c r="M8" s="5">
        <v>0</v>
      </c>
      <c r="N8" s="4">
        <v>0</v>
      </c>
      <c r="O8" s="5">
        <v>0</v>
      </c>
      <c r="P8" s="5">
        <v>0</v>
      </c>
    </row>
    <row r="9" spans="1:16" x14ac:dyDescent="0.2">
      <c r="A9" s="3" t="s">
        <v>21</v>
      </c>
      <c r="B9" s="3">
        <v>0</v>
      </c>
      <c r="C9" s="6">
        <v>0</v>
      </c>
      <c r="D9" s="6">
        <v>0</v>
      </c>
      <c r="E9" s="3">
        <v>0</v>
      </c>
      <c r="F9" s="6">
        <v>0</v>
      </c>
      <c r="G9" s="6">
        <v>0</v>
      </c>
      <c r="H9" s="3">
        <v>0</v>
      </c>
      <c r="I9" s="6">
        <v>0</v>
      </c>
      <c r="J9" s="6">
        <v>0</v>
      </c>
      <c r="K9" s="3">
        <v>0</v>
      </c>
      <c r="L9" s="6">
        <v>0</v>
      </c>
      <c r="M9" s="6">
        <v>0</v>
      </c>
      <c r="N9" s="3">
        <v>0</v>
      </c>
      <c r="O9" s="6">
        <v>0</v>
      </c>
      <c r="P9" s="6">
        <v>0</v>
      </c>
    </row>
    <row r="10" spans="1:16" x14ac:dyDescent="0.2">
      <c r="A10" s="3" t="s">
        <v>22</v>
      </c>
      <c r="B10" s="4">
        <v>0</v>
      </c>
      <c r="C10" s="5">
        <v>0</v>
      </c>
      <c r="D10" s="5">
        <v>0</v>
      </c>
      <c r="E10" s="4">
        <v>0</v>
      </c>
      <c r="F10" s="5">
        <v>0</v>
      </c>
      <c r="G10" s="5">
        <v>0</v>
      </c>
      <c r="H10" s="4">
        <v>0</v>
      </c>
      <c r="I10" s="5">
        <v>0</v>
      </c>
      <c r="J10" s="5">
        <v>0</v>
      </c>
      <c r="K10" s="4">
        <v>0</v>
      </c>
      <c r="L10" s="5">
        <v>0</v>
      </c>
      <c r="M10" s="5">
        <v>0</v>
      </c>
      <c r="N10" s="4">
        <v>0</v>
      </c>
      <c r="O10" s="5">
        <v>0</v>
      </c>
      <c r="P10" s="5">
        <v>0</v>
      </c>
    </row>
    <row r="11" spans="1:16" x14ac:dyDescent="0.2">
      <c r="A11" s="3" t="s">
        <v>23</v>
      </c>
      <c r="B11" s="3">
        <v>0</v>
      </c>
      <c r="C11" s="6">
        <v>0</v>
      </c>
      <c r="D11" s="6">
        <v>0</v>
      </c>
      <c r="E11" s="3">
        <v>0</v>
      </c>
      <c r="F11" s="6">
        <v>0</v>
      </c>
      <c r="G11" s="6">
        <v>0</v>
      </c>
      <c r="H11" s="3">
        <v>0</v>
      </c>
      <c r="I11" s="6">
        <v>0</v>
      </c>
      <c r="J11" s="6">
        <v>0</v>
      </c>
      <c r="K11" s="3">
        <v>0</v>
      </c>
      <c r="L11" s="6">
        <v>0</v>
      </c>
      <c r="M11" s="6">
        <v>0</v>
      </c>
      <c r="N11" s="3">
        <v>0</v>
      </c>
      <c r="O11" s="6">
        <v>0</v>
      </c>
      <c r="P11" s="6">
        <v>0</v>
      </c>
    </row>
    <row r="12" spans="1:16" x14ac:dyDescent="0.2">
      <c r="A12" s="3" t="s">
        <v>24</v>
      </c>
      <c r="B12" s="4">
        <v>0</v>
      </c>
      <c r="C12" s="5">
        <v>0</v>
      </c>
      <c r="D12" s="5">
        <v>0</v>
      </c>
      <c r="E12" s="4">
        <v>0</v>
      </c>
      <c r="F12" s="5">
        <v>0</v>
      </c>
      <c r="G12" s="5">
        <v>0</v>
      </c>
      <c r="H12" s="4">
        <v>0</v>
      </c>
      <c r="I12" s="5">
        <v>0</v>
      </c>
      <c r="J12" s="5">
        <v>0</v>
      </c>
      <c r="K12" s="4">
        <v>0</v>
      </c>
      <c r="L12" s="5">
        <v>0</v>
      </c>
      <c r="M12" s="5">
        <v>0</v>
      </c>
      <c r="N12" s="4">
        <v>0</v>
      </c>
      <c r="O12" s="5">
        <v>0</v>
      </c>
      <c r="P12" s="5">
        <v>0</v>
      </c>
    </row>
    <row r="13" spans="1:16" x14ac:dyDescent="0.2">
      <c r="A13" s="3" t="s">
        <v>25</v>
      </c>
      <c r="B13" s="3">
        <v>0</v>
      </c>
      <c r="C13" s="6">
        <v>0</v>
      </c>
      <c r="D13" s="6">
        <v>0</v>
      </c>
      <c r="E13" s="3">
        <v>0</v>
      </c>
      <c r="F13" s="6">
        <v>0</v>
      </c>
      <c r="G13" s="6">
        <v>0</v>
      </c>
      <c r="H13" s="3">
        <v>0</v>
      </c>
      <c r="I13" s="6">
        <v>0</v>
      </c>
      <c r="J13" s="6">
        <v>0</v>
      </c>
      <c r="K13" s="3">
        <v>0</v>
      </c>
      <c r="L13" s="6">
        <v>0</v>
      </c>
      <c r="M13" s="6">
        <v>0</v>
      </c>
      <c r="N13" s="3">
        <v>0</v>
      </c>
      <c r="O13" s="6">
        <v>0</v>
      </c>
      <c r="P13" s="6">
        <v>0</v>
      </c>
    </row>
    <row r="14" spans="1:16" x14ac:dyDescent="0.2">
      <c r="A14" s="3" t="s">
        <v>26</v>
      </c>
      <c r="B14" s="4">
        <v>4</v>
      </c>
      <c r="C14" s="5">
        <v>1</v>
      </c>
      <c r="D14" s="5">
        <v>1</v>
      </c>
      <c r="E14" s="4">
        <v>279</v>
      </c>
      <c r="F14" s="5">
        <v>0.84587809999999997</v>
      </c>
      <c r="G14" s="5">
        <v>0.90681</v>
      </c>
      <c r="H14" s="4">
        <v>4</v>
      </c>
      <c r="I14" s="5">
        <v>0.75</v>
      </c>
      <c r="J14" s="5">
        <v>0.75</v>
      </c>
      <c r="K14" s="4">
        <v>0</v>
      </c>
      <c r="L14" s="5">
        <v>0</v>
      </c>
      <c r="M14" s="5">
        <v>0</v>
      </c>
      <c r="N14" s="4">
        <v>626</v>
      </c>
      <c r="O14" s="5">
        <v>0.81150160000000005</v>
      </c>
      <c r="P14" s="5">
        <v>0.87859419999999999</v>
      </c>
    </row>
    <row r="15" spans="1:16" x14ac:dyDescent="0.2">
      <c r="A15" s="3" t="s">
        <v>27</v>
      </c>
      <c r="B15" s="3">
        <v>0</v>
      </c>
      <c r="C15" s="6">
        <v>0</v>
      </c>
      <c r="D15" s="6">
        <v>0</v>
      </c>
      <c r="E15" s="3">
        <v>50</v>
      </c>
      <c r="F15" s="6">
        <v>0.92</v>
      </c>
      <c r="G15" s="6">
        <v>0.94</v>
      </c>
      <c r="H15" s="3">
        <v>1</v>
      </c>
      <c r="I15" s="6">
        <v>1</v>
      </c>
      <c r="J15" s="6">
        <v>1</v>
      </c>
      <c r="K15" s="3">
        <v>0</v>
      </c>
      <c r="L15" s="6">
        <v>0</v>
      </c>
      <c r="M15" s="6">
        <v>0</v>
      </c>
      <c r="N15" s="3">
        <v>72</v>
      </c>
      <c r="O15" s="6">
        <v>0.95833330000000005</v>
      </c>
      <c r="P15" s="6">
        <v>0.95833330000000005</v>
      </c>
    </row>
    <row r="16" spans="1:16" x14ac:dyDescent="0.2">
      <c r="A16" s="3" t="s">
        <v>28</v>
      </c>
      <c r="B16" s="4">
        <v>0</v>
      </c>
      <c r="C16" s="5">
        <v>0</v>
      </c>
      <c r="D16" s="5">
        <v>0</v>
      </c>
      <c r="E16" s="4">
        <v>267</v>
      </c>
      <c r="F16" s="5">
        <v>0.835206</v>
      </c>
      <c r="G16" s="5">
        <v>0.90262169999999997</v>
      </c>
      <c r="H16" s="4">
        <v>1</v>
      </c>
      <c r="I16" s="5">
        <v>1</v>
      </c>
      <c r="J16" s="5">
        <v>1</v>
      </c>
      <c r="K16" s="4">
        <v>0</v>
      </c>
      <c r="L16" s="5">
        <v>0</v>
      </c>
      <c r="M16" s="5">
        <v>0</v>
      </c>
      <c r="N16" s="4">
        <v>554</v>
      </c>
      <c r="O16" s="5">
        <v>0.77617329999999995</v>
      </c>
      <c r="P16" s="5">
        <v>0.87725629999999999</v>
      </c>
    </row>
    <row r="17" spans="1:16" x14ac:dyDescent="0.2">
      <c r="A17" s="3" t="s">
        <v>29</v>
      </c>
      <c r="B17" s="3">
        <v>0</v>
      </c>
      <c r="C17" s="6">
        <v>0</v>
      </c>
      <c r="D17" s="6">
        <v>0</v>
      </c>
      <c r="E17" s="3">
        <v>40</v>
      </c>
      <c r="F17" s="6">
        <v>0.97499999999999998</v>
      </c>
      <c r="G17" s="6">
        <v>0.97499999999999998</v>
      </c>
      <c r="H17" s="3">
        <v>0</v>
      </c>
      <c r="I17" s="6">
        <v>0</v>
      </c>
      <c r="J17" s="6">
        <v>0</v>
      </c>
      <c r="K17" s="3">
        <v>0</v>
      </c>
      <c r="L17" s="6">
        <v>0</v>
      </c>
      <c r="M17" s="6">
        <v>0</v>
      </c>
      <c r="N17" s="3">
        <v>156</v>
      </c>
      <c r="O17" s="6">
        <v>0.95512819999999998</v>
      </c>
      <c r="P17" s="6">
        <v>0.97435899999999998</v>
      </c>
    </row>
    <row r="18" spans="1:16" x14ac:dyDescent="0.2">
      <c r="A18" s="7" t="s">
        <v>87</v>
      </c>
      <c r="B18" s="8">
        <f>SUM(B6:B17)</f>
        <v>4</v>
      </c>
      <c r="C18" s="9">
        <f>IF(B18=0, 0, ((B6*C6)+(B7*C7)+(B8*C8)+(B9*C9)+(B10*C10)+(B11*C11)+(B12*C12)+(B13*C13)+(B14*C14)+(B15*C15)+(B16*C16)+(B17*C17))/B18)</f>
        <v>1</v>
      </c>
      <c r="D18" s="9">
        <f>IF(B18=0, 0, ((B6*D6)+(B7*D7)+(B8*D8)+(B9*D9)+(B10*D10)+(B11*D11)+(B12*D12)+(B13*D13)+(B14*D14)+(B15*D15)+(B16*D16)+(B17*D17))/B18)</f>
        <v>1</v>
      </c>
      <c r="E18" s="8">
        <f>SUM(E6:E17)</f>
        <v>636</v>
      </c>
      <c r="F18" s="9">
        <f>IF(E18=0, 0, ((E6*F6)+(E7*F7)+(E8*F8)+(E9*F9)+(E10*F10)+(E11*F11)+(E12*F12)+(E13*F13)+(E14*F14)+(E15*F15)+(E16*F16)+(E17*F17))/E18)</f>
        <v>0.85534589921383641</v>
      </c>
      <c r="G18" s="9">
        <f>IF(E18=0, 0, ((E6*G6)+(E7*G7)+(E8*G8)+(E9*G9)+(E10*G10)+(E11*G11)+(E12*G12)+(E13*G13)+(E14*G14)+(E15*G15)+(E16*G16)+(E17*G17))/E18)</f>
        <v>0.91194966022012569</v>
      </c>
      <c r="H18" s="8">
        <f>SUM(H6:H17)</f>
        <v>6</v>
      </c>
      <c r="I18" s="9">
        <f>IF(H18=0, 0, ((H6*I6)+(H7*I7)+(H8*I8)+(H9*I9)+(H10*I10)+(H11*I11)+(H12*I12)+(H13*I13)+(H14*I14)+(H15*I15)+(H16*I16)+(H17*I17))/H18)</f>
        <v>0.83333333333333337</v>
      </c>
      <c r="J18" s="9">
        <f>IF(H18=0, 0, ((H6*J6)+(H7*J7)+(H8*J8)+(H9*J9)+(H10*J10)+(H11*J11)+(H12*J12)+(H13*J13)+(H14*J14)+(H15*J15)+(H16*J16)+(H17*J17))/H18)</f>
        <v>0.83333333333333337</v>
      </c>
      <c r="K18" s="8">
        <f>SUM(K6:K17)</f>
        <v>0</v>
      </c>
      <c r="L18" s="9">
        <f>IF(K18=0, 0, ((K6*L6)+(K7*L7)+(K8*L8)+(K9*L9)+(K10*L10)+(K11*L11)+(K12*L12)+(K13*L13)+(K14*L14)+(K15*L15)+(K16*L16)+(K17*L17))/K18)</f>
        <v>0</v>
      </c>
      <c r="M18" s="9">
        <f>IF(K18=0, 0, ((K6*M6)+(K7*M7)+(K8*M8)+(K9*M9)+(K10*M10)+(K11*M11)+(K12*M12)+(K13*M13)+(K14*M14)+(K15*M15)+(K16*M16)+(K17*M17))/K18)</f>
        <v>0</v>
      </c>
      <c r="N18" s="8">
        <f>SUM(N6:N17)</f>
        <v>1408</v>
      </c>
      <c r="O18" s="9">
        <f>IF(N18=0, 0, ((N6*O6)+(N7*O7)+(N8*O8)+(N9*O9)+(N10*O10)+(N11*O11)+(N12*O12)+(N13*O13)+(N14*O14)+(N15*O15)+(N16*O16)+(N17*O17))/N18)</f>
        <v>0.82102273196022724</v>
      </c>
      <c r="P18" s="9">
        <f>IF(N18=0, 0, ((N6*P6)+(N7*P7)+(N8*P8)+(N9*P9)+(N10*P10)+(N11*P11)+(N12*P12)+(N13*P13)+(N14*P14)+(N15*P15)+(N16*P16)+(N17*P17))/N18)</f>
        <v>0.89275565411931812</v>
      </c>
    </row>
    <row r="20" spans="1:16" x14ac:dyDescent="0.2">
      <c r="B20" s="32" t="s">
        <v>79</v>
      </c>
      <c r="C20" s="32"/>
      <c r="D20" s="32"/>
      <c r="E20" s="32" t="s">
        <v>80</v>
      </c>
      <c r="F20" s="32"/>
      <c r="G20" s="32"/>
      <c r="H20" s="32" t="s">
        <v>81</v>
      </c>
      <c r="I20" s="32"/>
      <c r="J20" s="32"/>
      <c r="K20" s="32" t="s">
        <v>82</v>
      </c>
      <c r="L20" s="32"/>
      <c r="M20" s="32"/>
      <c r="N20" s="32" t="s">
        <v>83</v>
      </c>
      <c r="O20" s="32"/>
      <c r="P20" s="32"/>
    </row>
    <row r="21" spans="1:16" x14ac:dyDescent="0.2">
      <c r="A21" s="2" t="s">
        <v>31</v>
      </c>
      <c r="B21" s="2" t="s">
        <v>84</v>
      </c>
      <c r="C21" s="2" t="s">
        <v>85</v>
      </c>
      <c r="D21" s="2" t="s">
        <v>86</v>
      </c>
      <c r="E21" s="2" t="s">
        <v>84</v>
      </c>
      <c r="F21" s="2" t="s">
        <v>85</v>
      </c>
      <c r="G21" s="2" t="s">
        <v>86</v>
      </c>
      <c r="H21" s="2" t="s">
        <v>84</v>
      </c>
      <c r="I21" s="2" t="s">
        <v>85</v>
      </c>
      <c r="J21" s="2" t="s">
        <v>86</v>
      </c>
      <c r="K21" s="2" t="s">
        <v>84</v>
      </c>
      <c r="L21" s="2" t="s">
        <v>85</v>
      </c>
      <c r="M21" s="2" t="s">
        <v>86</v>
      </c>
      <c r="N21" s="2" t="s">
        <v>84</v>
      </c>
      <c r="O21" s="2" t="s">
        <v>85</v>
      </c>
      <c r="P21" s="2" t="s">
        <v>86</v>
      </c>
    </row>
    <row r="22" spans="1:16" x14ac:dyDescent="0.2">
      <c r="A22" s="3" t="s">
        <v>59</v>
      </c>
      <c r="B22" s="4">
        <v>4</v>
      </c>
      <c r="C22" s="5">
        <v>1</v>
      </c>
      <c r="D22" s="5">
        <v>1</v>
      </c>
      <c r="E22" s="4">
        <v>636</v>
      </c>
      <c r="F22" s="5">
        <v>0.85534589999999999</v>
      </c>
      <c r="G22" s="5">
        <v>0.91194969999999997</v>
      </c>
      <c r="H22" s="4">
        <v>6</v>
      </c>
      <c r="I22" s="5">
        <v>0.83333330000000005</v>
      </c>
      <c r="J22" s="5">
        <v>0.83333330000000005</v>
      </c>
      <c r="K22" s="4">
        <v>0</v>
      </c>
      <c r="L22" s="5">
        <v>0</v>
      </c>
      <c r="M22" s="5">
        <v>0</v>
      </c>
      <c r="N22" s="4">
        <v>1408</v>
      </c>
      <c r="O22" s="5">
        <v>0.82102269999999999</v>
      </c>
      <c r="P22" s="5">
        <v>0.89275570000000004</v>
      </c>
    </row>
    <row r="23" spans="1:16" x14ac:dyDescent="0.2">
      <c r="A23" s="7" t="s">
        <v>87</v>
      </c>
      <c r="B23" s="8">
        <f>SUM(B22:B22)</f>
        <v>4</v>
      </c>
      <c r="C23" s="9">
        <f>IF(B23=0, 0, ((B22*C22))/B23)</f>
        <v>1</v>
      </c>
      <c r="D23" s="9">
        <f>IF(B23=0, 0, ((B22*D22))/B23)</f>
        <v>1</v>
      </c>
      <c r="E23" s="8">
        <f>SUM(E22:E22)</f>
        <v>636</v>
      </c>
      <c r="F23" s="9">
        <f>IF(E23=0, 0, ((E22*F22))/E23)</f>
        <v>0.85534589999999999</v>
      </c>
      <c r="G23" s="9">
        <f>IF(E23=0, 0, ((E22*G22))/E23)</f>
        <v>0.91194970000000009</v>
      </c>
      <c r="H23" s="8">
        <f>SUM(H22:H22)</f>
        <v>6</v>
      </c>
      <c r="I23" s="9">
        <f>IF(H23=0, 0, ((H22*I22))/H23)</f>
        <v>0.83333330000000005</v>
      </c>
      <c r="J23" s="9">
        <f>IF(H23=0, 0, ((H22*J22))/H23)</f>
        <v>0.83333330000000005</v>
      </c>
      <c r="K23" s="8">
        <f>SUM(K22:K22)</f>
        <v>0</v>
      </c>
      <c r="L23" s="9">
        <f>IF(K23=0, 0, ((K22*L22))/K23)</f>
        <v>0</v>
      </c>
      <c r="M23" s="9">
        <f>IF(K23=0, 0, ((K22*M22))/K23)</f>
        <v>0</v>
      </c>
      <c r="N23" s="8">
        <f>SUM(N22:N22)</f>
        <v>1408</v>
      </c>
      <c r="O23" s="9">
        <f>IF(N23=0, 0, ((N22*O22))/N23)</f>
        <v>0.82102269999999999</v>
      </c>
      <c r="P23" s="9">
        <f>IF(N23=0, 0, ((N22*P22))/N23)</f>
        <v>0.89275570000000004</v>
      </c>
    </row>
    <row r="26" spans="1:16" ht="21" x14ac:dyDescent="0.35">
      <c r="A26" s="33" t="s">
        <v>35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8" spans="1:16" x14ac:dyDescent="0.2">
      <c r="A28" s="29" t="s">
        <v>36</v>
      </c>
      <c r="B28" s="30"/>
      <c r="C28" s="31" t="s">
        <v>37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x14ac:dyDescent="0.2">
      <c r="A29" s="29" t="s">
        <v>40</v>
      </c>
      <c r="B29" s="30"/>
      <c r="C29" s="31" t="s">
        <v>41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x14ac:dyDescent="0.2">
      <c r="A30" s="29" t="s">
        <v>73</v>
      </c>
      <c r="B30" s="30"/>
      <c r="C30" s="31" t="s">
        <v>88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x14ac:dyDescent="0.2">
      <c r="A31" s="29" t="s">
        <v>75</v>
      </c>
      <c r="B31" s="30"/>
      <c r="C31" s="31" t="s">
        <v>76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</sheetData>
  <sheetProtection formatCells="0" formatColumns="0" formatRows="0" insertColumns="0" insertRows="0" insertHyperlinks="0" deleteColumns="0" deleteRows="0" sort="0" autoFilter="0" pivotTables="0"/>
  <mergeCells count="21"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30:B30"/>
    <mergeCell ref="C30:P30"/>
    <mergeCell ref="A31:B31"/>
    <mergeCell ref="C31:P31"/>
    <mergeCell ref="A26:P26"/>
    <mergeCell ref="A28:B28"/>
    <mergeCell ref="C28:P28"/>
    <mergeCell ref="A29:B29"/>
    <mergeCell ref="C29:P29"/>
  </mergeCells>
  <pageMargins left="0.4" right="0.4" top="0.6" bottom="0.6" header="0.3" footer="0.3"/>
  <pageSetup orientation="landscape"/>
  <headerFooter>
    <oddHeader>&amp;L&amp;B2017-2018 IVC Research Report for COMM&amp;RPrinted on &amp;D</oddHeader>
    <oddFooter>&amp;L&amp;BGenerated By: Office of Institutional Research&amp;RPage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workbookViewId="0">
      <selection activeCell="A31" sqref="A31"/>
    </sheetView>
  </sheetViews>
  <sheetFormatPr defaultRowHeight="12.75" x14ac:dyDescent="0.2"/>
  <cols>
    <col min="1" max="1" width="15" customWidth="1"/>
    <col min="2" max="2" width="5" customWidth="1"/>
    <col min="3" max="4" width="10" customWidth="1"/>
    <col min="5" max="5" width="5" customWidth="1"/>
    <col min="6" max="7" width="10" customWidth="1"/>
    <col min="8" max="8" width="5" customWidth="1"/>
    <col min="9" max="10" width="10" customWidth="1"/>
    <col min="11" max="11" width="5" customWidth="1"/>
    <col min="12" max="13" width="10" customWidth="1"/>
    <col min="14" max="14" width="5" customWidth="1"/>
    <col min="15" max="16" width="10" customWidth="1"/>
    <col min="17" max="17" width="5" customWidth="1"/>
    <col min="18" max="19" width="10" customWidth="1"/>
    <col min="20" max="20" width="5" customWidth="1"/>
    <col min="21" max="22" width="10" customWidth="1"/>
  </cols>
  <sheetData>
    <row r="1" spans="1:22" ht="21" x14ac:dyDescent="0.35">
      <c r="A1" s="33" t="s">
        <v>89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x14ac:dyDescent="0.25">
      <c r="A2" s="35" t="s">
        <v>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4" spans="1:22" x14ac:dyDescent="0.2">
      <c r="B4" s="32" t="s">
        <v>91</v>
      </c>
      <c r="C4" s="32"/>
      <c r="D4" s="32"/>
      <c r="E4" s="32" t="s">
        <v>92</v>
      </c>
      <c r="F4" s="32"/>
      <c r="G4" s="32"/>
      <c r="H4" s="32" t="s">
        <v>93</v>
      </c>
      <c r="I4" s="32"/>
      <c r="J4" s="32"/>
      <c r="K4" s="32" t="s">
        <v>94</v>
      </c>
      <c r="L4" s="32"/>
      <c r="M4" s="32"/>
      <c r="N4" s="32" t="s">
        <v>95</v>
      </c>
      <c r="O4" s="32"/>
      <c r="P4" s="32"/>
      <c r="Q4" s="32" t="s">
        <v>96</v>
      </c>
      <c r="R4" s="32"/>
      <c r="S4" s="32"/>
      <c r="T4" s="32" t="s">
        <v>97</v>
      </c>
      <c r="U4" s="32"/>
      <c r="V4" s="32"/>
    </row>
    <row r="5" spans="1:22" x14ac:dyDescent="0.2">
      <c r="A5" s="2" t="s">
        <v>13</v>
      </c>
      <c r="B5" s="2" t="s">
        <v>84</v>
      </c>
      <c r="C5" s="2" t="s">
        <v>85</v>
      </c>
      <c r="D5" s="2" t="s">
        <v>86</v>
      </c>
      <c r="E5" s="2" t="s">
        <v>84</v>
      </c>
      <c r="F5" s="2" t="s">
        <v>85</v>
      </c>
      <c r="G5" s="2" t="s">
        <v>86</v>
      </c>
      <c r="H5" s="2" t="s">
        <v>84</v>
      </c>
      <c r="I5" s="2" t="s">
        <v>85</v>
      </c>
      <c r="J5" s="2" t="s">
        <v>86</v>
      </c>
      <c r="K5" s="2" t="s">
        <v>84</v>
      </c>
      <c r="L5" s="2" t="s">
        <v>85</v>
      </c>
      <c r="M5" s="2" t="s">
        <v>86</v>
      </c>
      <c r="N5" s="2" t="s">
        <v>84</v>
      </c>
      <c r="O5" s="2" t="s">
        <v>85</v>
      </c>
      <c r="P5" s="2" t="s">
        <v>86</v>
      </c>
      <c r="Q5" s="2" t="s">
        <v>84</v>
      </c>
      <c r="R5" s="2" t="s">
        <v>85</v>
      </c>
      <c r="S5" s="2" t="s">
        <v>86</v>
      </c>
      <c r="T5" s="2" t="s">
        <v>84</v>
      </c>
      <c r="U5" s="2" t="s">
        <v>85</v>
      </c>
      <c r="V5" s="2" t="s">
        <v>86</v>
      </c>
    </row>
    <row r="6" spans="1:22" x14ac:dyDescent="0.2">
      <c r="A6" s="3" t="s">
        <v>18</v>
      </c>
      <c r="B6" s="4">
        <v>0</v>
      </c>
      <c r="C6" s="5">
        <v>0</v>
      </c>
      <c r="D6" s="5">
        <v>0</v>
      </c>
      <c r="E6" s="4">
        <v>0</v>
      </c>
      <c r="F6" s="5">
        <v>0</v>
      </c>
      <c r="G6" s="5">
        <v>0</v>
      </c>
      <c r="H6" s="4">
        <v>0</v>
      </c>
      <c r="I6" s="5">
        <v>0</v>
      </c>
      <c r="J6" s="5">
        <v>0</v>
      </c>
      <c r="K6" s="4">
        <v>0</v>
      </c>
      <c r="L6" s="5">
        <v>0</v>
      </c>
      <c r="M6" s="5">
        <v>0</v>
      </c>
      <c r="N6" s="4">
        <v>0</v>
      </c>
      <c r="O6" s="5">
        <v>0</v>
      </c>
      <c r="P6" s="5">
        <v>0</v>
      </c>
      <c r="Q6" s="4">
        <v>0</v>
      </c>
      <c r="R6" s="5">
        <v>0</v>
      </c>
      <c r="S6" s="5">
        <v>0</v>
      </c>
      <c r="T6" s="4">
        <v>0</v>
      </c>
      <c r="U6" s="5">
        <v>0</v>
      </c>
      <c r="V6" s="5">
        <v>0</v>
      </c>
    </row>
    <row r="7" spans="1:22" x14ac:dyDescent="0.2">
      <c r="A7" s="3" t="s">
        <v>19</v>
      </c>
      <c r="B7" s="3">
        <v>0</v>
      </c>
      <c r="C7" s="6">
        <v>0</v>
      </c>
      <c r="D7" s="6">
        <v>0</v>
      </c>
      <c r="E7" s="3">
        <v>0</v>
      </c>
      <c r="F7" s="6">
        <v>0</v>
      </c>
      <c r="G7" s="6">
        <v>0</v>
      </c>
      <c r="H7" s="3">
        <v>0</v>
      </c>
      <c r="I7" s="6">
        <v>0</v>
      </c>
      <c r="J7" s="6">
        <v>0</v>
      </c>
      <c r="K7" s="3">
        <v>0</v>
      </c>
      <c r="L7" s="6">
        <v>0</v>
      </c>
      <c r="M7" s="6">
        <v>0</v>
      </c>
      <c r="N7" s="3">
        <v>0</v>
      </c>
      <c r="O7" s="6">
        <v>0</v>
      </c>
      <c r="P7" s="6">
        <v>0</v>
      </c>
      <c r="Q7" s="3">
        <v>0</v>
      </c>
      <c r="R7" s="6">
        <v>0</v>
      </c>
      <c r="S7" s="6">
        <v>0</v>
      </c>
      <c r="T7" s="3">
        <v>0</v>
      </c>
      <c r="U7" s="6">
        <v>0</v>
      </c>
      <c r="V7" s="6">
        <v>0</v>
      </c>
    </row>
    <row r="8" spans="1:22" x14ac:dyDescent="0.2">
      <c r="A8" s="3" t="s">
        <v>20</v>
      </c>
      <c r="B8" s="4">
        <v>0</v>
      </c>
      <c r="C8" s="5">
        <v>0</v>
      </c>
      <c r="D8" s="5">
        <v>0</v>
      </c>
      <c r="E8" s="4">
        <v>0</v>
      </c>
      <c r="F8" s="5">
        <v>0</v>
      </c>
      <c r="G8" s="5">
        <v>0</v>
      </c>
      <c r="H8" s="4">
        <v>0</v>
      </c>
      <c r="I8" s="5">
        <v>0</v>
      </c>
      <c r="J8" s="5">
        <v>0</v>
      </c>
      <c r="K8" s="4">
        <v>0</v>
      </c>
      <c r="L8" s="5">
        <v>0</v>
      </c>
      <c r="M8" s="5">
        <v>0</v>
      </c>
      <c r="N8" s="4">
        <v>0</v>
      </c>
      <c r="O8" s="5">
        <v>0</v>
      </c>
      <c r="P8" s="5">
        <v>0</v>
      </c>
      <c r="Q8" s="4">
        <v>0</v>
      </c>
      <c r="R8" s="5">
        <v>0</v>
      </c>
      <c r="S8" s="5">
        <v>0</v>
      </c>
      <c r="T8" s="4">
        <v>0</v>
      </c>
      <c r="U8" s="5">
        <v>0</v>
      </c>
      <c r="V8" s="5">
        <v>0</v>
      </c>
    </row>
    <row r="9" spans="1:22" x14ac:dyDescent="0.2">
      <c r="A9" s="3" t="s">
        <v>21</v>
      </c>
      <c r="B9" s="3">
        <v>0</v>
      </c>
      <c r="C9" s="6">
        <v>0</v>
      </c>
      <c r="D9" s="6">
        <v>0</v>
      </c>
      <c r="E9" s="3">
        <v>0</v>
      </c>
      <c r="F9" s="6">
        <v>0</v>
      </c>
      <c r="G9" s="6">
        <v>0</v>
      </c>
      <c r="H9" s="3">
        <v>0</v>
      </c>
      <c r="I9" s="6">
        <v>0</v>
      </c>
      <c r="J9" s="6">
        <v>0</v>
      </c>
      <c r="K9" s="3">
        <v>0</v>
      </c>
      <c r="L9" s="6">
        <v>0</v>
      </c>
      <c r="M9" s="6">
        <v>0</v>
      </c>
      <c r="N9" s="3">
        <v>0</v>
      </c>
      <c r="O9" s="6">
        <v>0</v>
      </c>
      <c r="P9" s="6">
        <v>0</v>
      </c>
      <c r="Q9" s="3">
        <v>0</v>
      </c>
      <c r="R9" s="6">
        <v>0</v>
      </c>
      <c r="S9" s="6">
        <v>0</v>
      </c>
      <c r="T9" s="3">
        <v>0</v>
      </c>
      <c r="U9" s="6">
        <v>0</v>
      </c>
      <c r="V9" s="6">
        <v>0</v>
      </c>
    </row>
    <row r="10" spans="1:22" x14ac:dyDescent="0.2">
      <c r="A10" s="3" t="s">
        <v>22</v>
      </c>
      <c r="B10" s="4">
        <v>0</v>
      </c>
      <c r="C10" s="5">
        <v>0</v>
      </c>
      <c r="D10" s="5">
        <v>0</v>
      </c>
      <c r="E10" s="4">
        <v>0</v>
      </c>
      <c r="F10" s="5">
        <v>0</v>
      </c>
      <c r="G10" s="5">
        <v>0</v>
      </c>
      <c r="H10" s="4">
        <v>0</v>
      </c>
      <c r="I10" s="5">
        <v>0</v>
      </c>
      <c r="J10" s="5">
        <v>0</v>
      </c>
      <c r="K10" s="4">
        <v>0</v>
      </c>
      <c r="L10" s="5">
        <v>0</v>
      </c>
      <c r="M10" s="5">
        <v>0</v>
      </c>
      <c r="N10" s="4">
        <v>0</v>
      </c>
      <c r="O10" s="5">
        <v>0</v>
      </c>
      <c r="P10" s="5">
        <v>0</v>
      </c>
      <c r="Q10" s="4">
        <v>0</v>
      </c>
      <c r="R10" s="5">
        <v>0</v>
      </c>
      <c r="S10" s="5">
        <v>0</v>
      </c>
      <c r="T10" s="4">
        <v>0</v>
      </c>
      <c r="U10" s="5">
        <v>0</v>
      </c>
      <c r="V10" s="5">
        <v>0</v>
      </c>
    </row>
    <row r="11" spans="1:22" x14ac:dyDescent="0.2">
      <c r="A11" s="3" t="s">
        <v>23</v>
      </c>
      <c r="B11" s="3">
        <v>0</v>
      </c>
      <c r="C11" s="6">
        <v>0</v>
      </c>
      <c r="D11" s="6">
        <v>0</v>
      </c>
      <c r="E11" s="3">
        <v>0</v>
      </c>
      <c r="F11" s="6">
        <v>0</v>
      </c>
      <c r="G11" s="6">
        <v>0</v>
      </c>
      <c r="H11" s="3">
        <v>0</v>
      </c>
      <c r="I11" s="6">
        <v>0</v>
      </c>
      <c r="J11" s="6">
        <v>0</v>
      </c>
      <c r="K11" s="3">
        <v>0</v>
      </c>
      <c r="L11" s="6">
        <v>0</v>
      </c>
      <c r="M11" s="6">
        <v>0</v>
      </c>
      <c r="N11" s="3">
        <v>0</v>
      </c>
      <c r="O11" s="6">
        <v>0</v>
      </c>
      <c r="P11" s="6">
        <v>0</v>
      </c>
      <c r="Q11" s="3">
        <v>0</v>
      </c>
      <c r="R11" s="6">
        <v>0</v>
      </c>
      <c r="S11" s="6">
        <v>0</v>
      </c>
      <c r="T11" s="3">
        <v>0</v>
      </c>
      <c r="U11" s="6">
        <v>0</v>
      </c>
      <c r="V11" s="6">
        <v>0</v>
      </c>
    </row>
    <row r="12" spans="1:22" x14ac:dyDescent="0.2">
      <c r="A12" s="3" t="s">
        <v>24</v>
      </c>
      <c r="B12" s="4">
        <v>0</v>
      </c>
      <c r="C12" s="5">
        <v>0</v>
      </c>
      <c r="D12" s="5">
        <v>0</v>
      </c>
      <c r="E12" s="4">
        <v>0</v>
      </c>
      <c r="F12" s="5">
        <v>0</v>
      </c>
      <c r="G12" s="5">
        <v>0</v>
      </c>
      <c r="H12" s="4">
        <v>0</v>
      </c>
      <c r="I12" s="5">
        <v>0</v>
      </c>
      <c r="J12" s="5">
        <v>0</v>
      </c>
      <c r="K12" s="4">
        <v>0</v>
      </c>
      <c r="L12" s="5">
        <v>0</v>
      </c>
      <c r="M12" s="5">
        <v>0</v>
      </c>
      <c r="N12" s="4">
        <v>0</v>
      </c>
      <c r="O12" s="5">
        <v>0</v>
      </c>
      <c r="P12" s="5">
        <v>0</v>
      </c>
      <c r="Q12" s="4">
        <v>0</v>
      </c>
      <c r="R12" s="5">
        <v>0</v>
      </c>
      <c r="S12" s="5">
        <v>0</v>
      </c>
      <c r="T12" s="4">
        <v>0</v>
      </c>
      <c r="U12" s="5">
        <v>0</v>
      </c>
      <c r="V12" s="5">
        <v>0</v>
      </c>
    </row>
    <row r="13" spans="1:22" x14ac:dyDescent="0.2">
      <c r="A13" s="3" t="s">
        <v>25</v>
      </c>
      <c r="B13" s="3">
        <v>0</v>
      </c>
      <c r="C13" s="6">
        <v>0</v>
      </c>
      <c r="D13" s="6">
        <v>0</v>
      </c>
      <c r="E13" s="3">
        <v>0</v>
      </c>
      <c r="F13" s="6">
        <v>0</v>
      </c>
      <c r="G13" s="6">
        <v>0</v>
      </c>
      <c r="H13" s="3">
        <v>0</v>
      </c>
      <c r="I13" s="6">
        <v>0</v>
      </c>
      <c r="J13" s="6">
        <v>0</v>
      </c>
      <c r="K13" s="3">
        <v>0</v>
      </c>
      <c r="L13" s="6">
        <v>0</v>
      </c>
      <c r="M13" s="6">
        <v>0</v>
      </c>
      <c r="N13" s="3">
        <v>0</v>
      </c>
      <c r="O13" s="6">
        <v>0</v>
      </c>
      <c r="P13" s="6">
        <v>0</v>
      </c>
      <c r="Q13" s="3">
        <v>0</v>
      </c>
      <c r="R13" s="6">
        <v>0</v>
      </c>
      <c r="S13" s="6">
        <v>0</v>
      </c>
      <c r="T13" s="3">
        <v>0</v>
      </c>
      <c r="U13" s="6">
        <v>0</v>
      </c>
      <c r="V13" s="6">
        <v>0</v>
      </c>
    </row>
    <row r="14" spans="1:22" x14ac:dyDescent="0.2">
      <c r="A14" s="3" t="s">
        <v>26</v>
      </c>
      <c r="B14" s="4">
        <v>449</v>
      </c>
      <c r="C14" s="5">
        <v>0.86414250000000004</v>
      </c>
      <c r="D14" s="5">
        <v>0.9153675</v>
      </c>
      <c r="E14" s="4">
        <v>328</v>
      </c>
      <c r="F14" s="5">
        <v>0.77439020000000003</v>
      </c>
      <c r="G14" s="5">
        <v>0.84756100000000001</v>
      </c>
      <c r="H14" s="4">
        <v>67</v>
      </c>
      <c r="I14" s="5">
        <v>0.73134330000000003</v>
      </c>
      <c r="J14" s="5">
        <v>0.83582089999999998</v>
      </c>
      <c r="K14" s="4">
        <v>29</v>
      </c>
      <c r="L14" s="5">
        <v>0.93103449999999999</v>
      </c>
      <c r="M14" s="5">
        <v>1</v>
      </c>
      <c r="N14" s="4">
        <v>22</v>
      </c>
      <c r="O14" s="5">
        <v>0.90909090000000004</v>
      </c>
      <c r="P14" s="5">
        <v>0.95454550000000005</v>
      </c>
      <c r="Q14" s="4">
        <v>15</v>
      </c>
      <c r="R14" s="5">
        <v>0.73333329999999997</v>
      </c>
      <c r="S14" s="5">
        <v>0.8</v>
      </c>
      <c r="T14" s="4">
        <v>3</v>
      </c>
      <c r="U14" s="5">
        <v>0.66666669999999995</v>
      </c>
      <c r="V14" s="5">
        <v>1</v>
      </c>
    </row>
    <row r="15" spans="1:22" x14ac:dyDescent="0.2">
      <c r="A15" s="3" t="s">
        <v>27</v>
      </c>
      <c r="B15" s="3">
        <v>68</v>
      </c>
      <c r="C15" s="6">
        <v>0.95588240000000002</v>
      </c>
      <c r="D15" s="6">
        <v>0.95588240000000002</v>
      </c>
      <c r="E15" s="3">
        <v>45</v>
      </c>
      <c r="F15" s="6">
        <v>0.93333330000000003</v>
      </c>
      <c r="G15" s="6">
        <v>0.95555559999999995</v>
      </c>
      <c r="H15" s="3">
        <v>6</v>
      </c>
      <c r="I15" s="6">
        <v>1</v>
      </c>
      <c r="J15" s="6">
        <v>1</v>
      </c>
      <c r="K15" s="3">
        <v>1</v>
      </c>
      <c r="L15" s="6">
        <v>1</v>
      </c>
      <c r="M15" s="6">
        <v>1</v>
      </c>
      <c r="N15" s="3">
        <v>1</v>
      </c>
      <c r="O15" s="6">
        <v>1</v>
      </c>
      <c r="P15" s="6">
        <v>1</v>
      </c>
      <c r="Q15" s="3">
        <v>1</v>
      </c>
      <c r="R15" s="6">
        <v>0</v>
      </c>
      <c r="S15" s="6">
        <v>0</v>
      </c>
      <c r="T15" s="3">
        <v>1</v>
      </c>
      <c r="U15" s="6">
        <v>1</v>
      </c>
      <c r="V15" s="6">
        <v>1</v>
      </c>
    </row>
    <row r="16" spans="1:22" x14ac:dyDescent="0.2">
      <c r="A16" s="3" t="s">
        <v>28</v>
      </c>
      <c r="B16" s="4">
        <v>301</v>
      </c>
      <c r="C16" s="5">
        <v>0.80398670000000005</v>
      </c>
      <c r="D16" s="5">
        <v>0.91362129999999997</v>
      </c>
      <c r="E16" s="4">
        <v>387</v>
      </c>
      <c r="F16" s="5">
        <v>0.78811370000000003</v>
      </c>
      <c r="G16" s="5">
        <v>0.87855300000000003</v>
      </c>
      <c r="H16" s="4">
        <v>52</v>
      </c>
      <c r="I16" s="5">
        <v>0.69230769999999997</v>
      </c>
      <c r="J16" s="5">
        <v>0.76923079999999999</v>
      </c>
      <c r="K16" s="4">
        <v>33</v>
      </c>
      <c r="L16" s="5">
        <v>0.90909090000000004</v>
      </c>
      <c r="M16" s="5">
        <v>0.90909090000000004</v>
      </c>
      <c r="N16" s="4">
        <v>23</v>
      </c>
      <c r="O16" s="5">
        <v>0.78260870000000005</v>
      </c>
      <c r="P16" s="5">
        <v>0.86956520000000004</v>
      </c>
      <c r="Q16" s="4">
        <v>19</v>
      </c>
      <c r="R16" s="5">
        <v>0.8947368</v>
      </c>
      <c r="S16" s="5">
        <v>0.8947368</v>
      </c>
      <c r="T16" s="4">
        <v>7</v>
      </c>
      <c r="U16" s="5">
        <v>0.71428570000000002</v>
      </c>
      <c r="V16" s="5">
        <v>0.85714290000000004</v>
      </c>
    </row>
    <row r="17" spans="1:22" x14ac:dyDescent="0.2">
      <c r="A17" s="3" t="s">
        <v>29</v>
      </c>
      <c r="B17" s="3">
        <v>73</v>
      </c>
      <c r="C17" s="6">
        <v>0.95890410000000004</v>
      </c>
      <c r="D17" s="6">
        <v>0.98630139999999999</v>
      </c>
      <c r="E17" s="3">
        <v>65</v>
      </c>
      <c r="F17" s="6">
        <v>0.98461540000000003</v>
      </c>
      <c r="G17" s="6">
        <v>0.98461540000000003</v>
      </c>
      <c r="H17" s="3">
        <v>18</v>
      </c>
      <c r="I17" s="6">
        <v>0.88888889999999998</v>
      </c>
      <c r="J17" s="6">
        <v>0.94444439999999996</v>
      </c>
      <c r="K17" s="3">
        <v>15</v>
      </c>
      <c r="L17" s="6">
        <v>0.93333330000000003</v>
      </c>
      <c r="M17" s="6">
        <v>0.93333330000000003</v>
      </c>
      <c r="N17" s="3">
        <v>12</v>
      </c>
      <c r="O17" s="6">
        <v>0.91666669999999995</v>
      </c>
      <c r="P17" s="6">
        <v>0.91666669999999995</v>
      </c>
      <c r="Q17" s="3">
        <v>10</v>
      </c>
      <c r="R17" s="6">
        <v>1</v>
      </c>
      <c r="S17" s="6">
        <v>1</v>
      </c>
      <c r="T17" s="3">
        <v>3</v>
      </c>
      <c r="U17" s="6">
        <v>1</v>
      </c>
      <c r="V17" s="6">
        <v>1</v>
      </c>
    </row>
    <row r="18" spans="1:22" x14ac:dyDescent="0.2">
      <c r="A18" s="7" t="s">
        <v>87</v>
      </c>
      <c r="B18" s="8">
        <f>SUM(B6:B17)</f>
        <v>891</v>
      </c>
      <c r="C18" s="9">
        <f>IF(B18=0, "", ((B6*C6)+(B7*C7)+(B8*C8)+(B9*C9)+(B10*C10)+(B11*C11)+(B12*C12)+(B13*C13)+(B14*C14)+(B15*C15)+(B16*C16)+(B17*C17))/B18)</f>
        <v>0.85858583804713806</v>
      </c>
      <c r="D18" s="9">
        <f>IF(B18=0, "", ((B6*D6)+(B7*D7)+(B8*D8)+(B9*D9)+(B10*D10)+(B11*D11)+(B12*D12)+(B13*D13)+(B14*D14)+(B15*D15)+(B16*D16)+(B17*D17))/B18)</f>
        <v>0.92368128417508411</v>
      </c>
      <c r="E18" s="8">
        <f>SUM(E6:E17)</f>
        <v>825</v>
      </c>
      <c r="F18" s="9">
        <f>IF(E18=0, "", ((E6*F6)+(E7*F7)+(E8*F8)+(E9*F9)+(E10*F10)+(E11*F11)+(E12*F12)+(E13*F13)+(E14*F14)+(E15*F15)+(E16*F16)+(E17*F17))/E18)</f>
        <v>0.80606059030303034</v>
      </c>
      <c r="G18" s="9">
        <f>IF(E18=0, "", ((E6*G6)+(E7*G7)+(E8*G8)+(E9*G9)+(E10*G10)+(E11*G11)+(E12*G12)+(E13*G13)+(E14*G14)+(E15*G15)+(E16*G16)+(E17*G17))/E18)</f>
        <v>0.87878790545454555</v>
      </c>
      <c r="H18" s="8">
        <f>SUM(H6:H17)</f>
        <v>143</v>
      </c>
      <c r="I18" s="9">
        <f>IF(H18=0, "", ((H6*I6)+(H7*I7)+(H8*I8)+(H9*I9)+(H10*I10)+(H11*I11)+(H12*I12)+(H13*I13)+(H14*I14)+(H15*I15)+(H16*I16)+(H17*I17))/H18)</f>
        <v>0.74825176013986017</v>
      </c>
      <c r="J18" s="9">
        <f>IF(H18=0, "", ((H6*J6)+(H7*J7)+(H8*J8)+(H9*J9)+(H10*J10)+(H11*J11)+(H12*J12)+(H13*J13)+(H14*J14)+(H15*J15)+(H16*J16)+(H17*J17))/H18)</f>
        <v>0.83216783986013976</v>
      </c>
      <c r="K18" s="8">
        <f>SUM(K6:K17)</f>
        <v>78</v>
      </c>
      <c r="L18" s="9">
        <f>IF(K18=0, "", ((K6*L6)+(K7*L7)+(K8*L8)+(K9*L9)+(K10*L10)+(K11*L11)+(K12*L12)+(K13*L13)+(K14*L14)+(K15*L15)+(K16*L16)+(K17*L17))/K18)</f>
        <v>0.92307691923076929</v>
      </c>
      <c r="M18" s="9">
        <f>IF(K18=0, "", ((K6*M6)+(K7*M7)+(K8*M8)+(K9*M9)+(K10*M10)+(K11*M11)+(K12*M12)+(K13*M13)+(K14*M14)+(K15*M15)+(K16*M16)+(K17*M17))/K18)</f>
        <v>0.94871793846153851</v>
      </c>
      <c r="N18" s="8">
        <f>SUM(N6:N17)</f>
        <v>58</v>
      </c>
      <c r="O18" s="9">
        <f>IF(N18=0, "", ((N6*O6)+(N7*O7)+(N8*O8)+(N9*O9)+(N10*O10)+(N11*O11)+(N12*O12)+(N13*O13)+(N14*O14)+(N15*O15)+(N16*O16)+(N17*O17))/N18)</f>
        <v>0.86206897068965527</v>
      </c>
      <c r="P18" s="9">
        <f>IF(N18=0, "", ((N6*P6)+(N7*P7)+(N8*P8)+(N9*P9)+(N10*P10)+(N11*P11)+(N12*P12)+(N13*P13)+(N14*P14)+(N15*P15)+(N16*P16)+(N17*P17))/N18)</f>
        <v>0.91379312068965524</v>
      </c>
      <c r="Q18" s="8">
        <f>SUM(Q6:Q17)</f>
        <v>45</v>
      </c>
      <c r="R18" s="9">
        <f>IF(Q18=0, "", ((Q6*R6)+(Q7*R7)+(Q8*R8)+(Q9*R9)+(Q10*R10)+(Q11*R11)+(Q12*R12)+(Q13*R13)+(Q14*R14)+(Q15*R15)+(Q16*R16)+(Q17*R17))/Q18)</f>
        <v>0.84444441555555549</v>
      </c>
      <c r="S18" s="9">
        <f>IF(Q18=0, "", ((Q6*S6)+(Q7*S7)+(Q8*S8)+(Q9*S9)+(Q10*S10)+(Q11*S11)+(Q12*S12)+(Q13*S13)+(Q14*S14)+(Q15*S15)+(Q16*S16)+(Q17*S17))/Q18)</f>
        <v>0.866666648888889</v>
      </c>
      <c r="T18" s="8">
        <f>SUM(T6:T17)</f>
        <v>14</v>
      </c>
      <c r="U18" s="9">
        <f>IF(T18=0, "", ((T6*U6)+(T7*U7)+(T8*U8)+(T9*U9)+(T10*U10)+(T11*U11)+(T12*U12)+(T13*U13)+(T14*U14)+(T15*U15)+(T16*U16)+(T17*U17))/T18)</f>
        <v>0.7857142857142857</v>
      </c>
      <c r="V18" s="9">
        <f>IF(T18=0, "", ((T6*V6)+(T7*V7)+(T8*V8)+(T9*V9)+(T10*V10)+(T11*V11)+(T12*V12)+(T13*V13)+(T14*V14)+(T15*V15)+(T16*V16)+(T17*V17))/T18)</f>
        <v>0.92857144999999996</v>
      </c>
    </row>
    <row r="20" spans="1:22" x14ac:dyDescent="0.2">
      <c r="B20" s="32" t="s">
        <v>91</v>
      </c>
      <c r="C20" s="32"/>
      <c r="D20" s="32"/>
      <c r="E20" s="32" t="s">
        <v>92</v>
      </c>
      <c r="F20" s="32"/>
      <c r="G20" s="32"/>
      <c r="H20" s="32" t="s">
        <v>93</v>
      </c>
      <c r="I20" s="32"/>
      <c r="J20" s="32"/>
      <c r="K20" s="32" t="s">
        <v>94</v>
      </c>
      <c r="L20" s="32"/>
      <c r="M20" s="32"/>
      <c r="N20" s="32" t="s">
        <v>95</v>
      </c>
      <c r="O20" s="32"/>
      <c r="P20" s="32"/>
      <c r="Q20" s="32" t="s">
        <v>96</v>
      </c>
      <c r="R20" s="32"/>
      <c r="S20" s="32"/>
      <c r="T20" s="32" t="s">
        <v>97</v>
      </c>
      <c r="U20" s="32"/>
      <c r="V20" s="32"/>
    </row>
    <row r="21" spans="1:22" x14ac:dyDescent="0.2">
      <c r="A21" s="2" t="s">
        <v>31</v>
      </c>
      <c r="B21" s="2" t="s">
        <v>84</v>
      </c>
      <c r="C21" s="2" t="s">
        <v>85</v>
      </c>
      <c r="D21" s="2" t="s">
        <v>86</v>
      </c>
      <c r="E21" s="2" t="s">
        <v>84</v>
      </c>
      <c r="F21" s="2" t="s">
        <v>85</v>
      </c>
      <c r="G21" s="2" t="s">
        <v>86</v>
      </c>
      <c r="H21" s="2" t="s">
        <v>84</v>
      </c>
      <c r="I21" s="2" t="s">
        <v>85</v>
      </c>
      <c r="J21" s="2" t="s">
        <v>86</v>
      </c>
      <c r="K21" s="2" t="s">
        <v>84</v>
      </c>
      <c r="L21" s="2" t="s">
        <v>85</v>
      </c>
      <c r="M21" s="2" t="s">
        <v>86</v>
      </c>
      <c r="N21" s="2" t="s">
        <v>84</v>
      </c>
      <c r="O21" s="2" t="s">
        <v>85</v>
      </c>
      <c r="P21" s="2" t="s">
        <v>86</v>
      </c>
      <c r="Q21" s="2" t="s">
        <v>84</v>
      </c>
      <c r="R21" s="2" t="s">
        <v>85</v>
      </c>
      <c r="S21" s="2" t="s">
        <v>86</v>
      </c>
      <c r="T21" s="2" t="s">
        <v>84</v>
      </c>
      <c r="U21" s="2" t="s">
        <v>85</v>
      </c>
      <c r="V21" s="2" t="s">
        <v>86</v>
      </c>
    </row>
    <row r="22" spans="1:22" x14ac:dyDescent="0.2">
      <c r="A22" s="3" t="s">
        <v>59</v>
      </c>
      <c r="B22" s="4">
        <v>891</v>
      </c>
      <c r="C22" s="5">
        <v>0.85858590000000001</v>
      </c>
      <c r="D22" s="5">
        <v>0.92368130000000004</v>
      </c>
      <c r="E22" s="4">
        <v>825</v>
      </c>
      <c r="F22" s="5">
        <v>0.80727269999999995</v>
      </c>
      <c r="G22" s="5">
        <v>0.87878789999999996</v>
      </c>
      <c r="H22" s="4">
        <v>143</v>
      </c>
      <c r="I22" s="5">
        <v>0.74825169999999996</v>
      </c>
      <c r="J22" s="5">
        <v>0.83216780000000001</v>
      </c>
      <c r="K22" s="4">
        <v>78</v>
      </c>
      <c r="L22" s="5">
        <v>0.92307689999999998</v>
      </c>
      <c r="M22" s="5">
        <v>0.9487179</v>
      </c>
      <c r="N22" s="4">
        <v>58</v>
      </c>
      <c r="O22" s="5">
        <v>0.86206899999999997</v>
      </c>
      <c r="P22" s="5">
        <v>0.91379310000000002</v>
      </c>
      <c r="Q22" s="4">
        <v>45</v>
      </c>
      <c r="R22" s="5">
        <v>0.84444439999999998</v>
      </c>
      <c r="S22" s="5">
        <v>0.86666670000000001</v>
      </c>
      <c r="T22" s="4">
        <v>14</v>
      </c>
      <c r="U22" s="5">
        <v>0.78571429999999998</v>
      </c>
      <c r="V22" s="5">
        <v>0.92857140000000005</v>
      </c>
    </row>
    <row r="23" spans="1:22" x14ac:dyDescent="0.2">
      <c r="A23" s="7" t="s">
        <v>87</v>
      </c>
      <c r="B23" s="8">
        <f>SUM(B22:B22)</f>
        <v>891</v>
      </c>
      <c r="C23" s="9">
        <f>IF(B23=0, "", ((B22*C22))/B23)</f>
        <v>0.85858590000000001</v>
      </c>
      <c r="D23" s="9">
        <f>IF(B23=0, "", ((B22*D22))/B23)</f>
        <v>0.92368130000000004</v>
      </c>
      <c r="E23" s="8">
        <f>SUM(E22:E22)</f>
        <v>825</v>
      </c>
      <c r="F23" s="9">
        <f>IF(E23=0, "", ((E22*F22))/E23)</f>
        <v>0.80727269999999995</v>
      </c>
      <c r="G23" s="9">
        <f>IF(E23=0, "", ((E22*G22))/E23)</f>
        <v>0.87878790000000007</v>
      </c>
      <c r="H23" s="8">
        <f>SUM(H22:H22)</f>
        <v>143</v>
      </c>
      <c r="I23" s="9">
        <f>IF(H23=0, "", ((H22*I22))/H23)</f>
        <v>0.74825169999999996</v>
      </c>
      <c r="J23" s="9">
        <f>IF(H23=0, "", ((H22*J22))/H23)</f>
        <v>0.83216780000000001</v>
      </c>
      <c r="K23" s="8">
        <f>SUM(K22:K22)</f>
        <v>78</v>
      </c>
      <c r="L23" s="9">
        <f>IF(K23=0, "", ((K22*L22))/K23)</f>
        <v>0.92307689999999987</v>
      </c>
      <c r="M23" s="9">
        <f>IF(K23=0, "", ((K22*M22))/K23)</f>
        <v>0.9487179</v>
      </c>
      <c r="N23" s="8">
        <f>SUM(N22:N22)</f>
        <v>58</v>
      </c>
      <c r="O23" s="9">
        <f>IF(N23=0, "", ((N22*O22))/N23)</f>
        <v>0.86206899999999986</v>
      </c>
      <c r="P23" s="9">
        <f>IF(N23=0, "", ((N22*P22))/N23)</f>
        <v>0.91379310000000014</v>
      </c>
      <c r="Q23" s="8">
        <f>SUM(Q22:Q22)</f>
        <v>45</v>
      </c>
      <c r="R23" s="9">
        <f>IF(Q23=0, "", ((Q22*R22))/Q23)</f>
        <v>0.84444439999999998</v>
      </c>
      <c r="S23" s="9">
        <f>IF(Q23=0, "", ((Q22*S22))/Q23)</f>
        <v>0.86666670000000012</v>
      </c>
      <c r="T23" s="8">
        <f>SUM(T22:T22)</f>
        <v>14</v>
      </c>
      <c r="U23" s="9">
        <f>IF(T23=0, "", ((T22*U22))/T23)</f>
        <v>0.78571429999999987</v>
      </c>
      <c r="V23" s="9">
        <f>IF(T23=0, "", ((T22*V22))/T23)</f>
        <v>0.92857140000000005</v>
      </c>
    </row>
    <row r="26" spans="1:22" ht="21" x14ac:dyDescent="0.35">
      <c r="A26" s="33" t="s">
        <v>35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8" spans="1:22" x14ac:dyDescent="0.2">
      <c r="A28" s="29" t="s">
        <v>36</v>
      </c>
      <c r="B28" s="30"/>
      <c r="C28" s="31" t="s">
        <v>37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x14ac:dyDescent="0.2">
      <c r="A29" s="29" t="s">
        <v>40</v>
      </c>
      <c r="B29" s="30"/>
      <c r="C29" s="31" t="s">
        <v>41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x14ac:dyDescent="0.2">
      <c r="A30" s="29" t="s">
        <v>73</v>
      </c>
      <c r="B30" s="30"/>
      <c r="C30" s="31" t="s">
        <v>88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x14ac:dyDescent="0.2">
      <c r="A31" s="29" t="s">
        <v>75</v>
      </c>
      <c r="B31" s="30"/>
      <c r="C31" s="31" t="s">
        <v>76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</sheetData>
  <sheetProtection formatCells="0" formatColumns="0" formatRows="0" insertColumns="0" insertRows="0" insertHyperlinks="0" deleteColumns="0" deleteRows="0" sort="0" autoFilter="0" pivotTables="0"/>
  <mergeCells count="25"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Q20:S20"/>
    <mergeCell ref="T20:V20"/>
    <mergeCell ref="A26:V26"/>
    <mergeCell ref="A28:B28"/>
    <mergeCell ref="C28:V28"/>
    <mergeCell ref="B20:D20"/>
    <mergeCell ref="E20:G20"/>
    <mergeCell ref="H20:J20"/>
    <mergeCell ref="K20:M20"/>
    <mergeCell ref="N20:P20"/>
    <mergeCell ref="A29:B29"/>
    <mergeCell ref="C29:V29"/>
    <mergeCell ref="A30:B30"/>
    <mergeCell ref="C30:V30"/>
    <mergeCell ref="A31:B31"/>
    <mergeCell ref="C31:V31"/>
  </mergeCells>
  <pageMargins left="0.4" right="0.4" top="0.6" bottom="0.6" header="0.3" footer="0.3"/>
  <pageSetup fitToHeight="0" orientation="landscape"/>
  <headerFooter>
    <oddHeader>&amp;L&amp;B2017-2018 IVC Research Report for COMM&amp;RPrinted on &amp;D</oddHeader>
    <oddFooter>&amp;L&amp;BGenerated By: Office of Institutional Research&amp;RPage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D6" sqref="D6"/>
    </sheetView>
  </sheetViews>
  <sheetFormatPr defaultRowHeight="12.75" x14ac:dyDescent="0.2"/>
  <cols>
    <col min="1" max="1" width="16" customWidth="1"/>
    <col min="2" max="2" width="6" customWidth="1"/>
    <col min="3" max="4" width="17" customWidth="1"/>
    <col min="5" max="5" width="6" customWidth="1"/>
    <col min="6" max="7" width="17" customWidth="1"/>
    <col min="8" max="8" width="6" customWidth="1"/>
    <col min="9" max="10" width="17" customWidth="1"/>
  </cols>
  <sheetData>
    <row r="1" spans="1:10" ht="21" x14ac:dyDescent="0.35">
      <c r="A1" s="33" t="s">
        <v>98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x14ac:dyDescent="0.25">
      <c r="A2" s="35" t="s">
        <v>99</v>
      </c>
      <c r="B2" s="34"/>
      <c r="C2" s="34"/>
      <c r="D2" s="34"/>
      <c r="E2" s="34"/>
      <c r="F2" s="34"/>
      <c r="G2" s="34"/>
      <c r="H2" s="34"/>
      <c r="I2" s="34"/>
      <c r="J2" s="34"/>
    </row>
    <row r="4" spans="1:10" x14ac:dyDescent="0.2">
      <c r="B4" s="32" t="s">
        <v>100</v>
      </c>
      <c r="C4" s="32"/>
      <c r="D4" s="32"/>
      <c r="E4" s="32" t="s">
        <v>101</v>
      </c>
      <c r="F4" s="32"/>
      <c r="G4" s="32"/>
      <c r="H4" s="32" t="s">
        <v>102</v>
      </c>
      <c r="I4" s="32"/>
      <c r="J4" s="32"/>
    </row>
    <row r="5" spans="1:10" x14ac:dyDescent="0.2">
      <c r="A5" s="2" t="s">
        <v>13</v>
      </c>
      <c r="B5" s="2" t="s">
        <v>84</v>
      </c>
      <c r="C5" s="2" t="s">
        <v>85</v>
      </c>
      <c r="D5" s="2" t="s">
        <v>86</v>
      </c>
      <c r="E5" s="2" t="s">
        <v>84</v>
      </c>
      <c r="F5" s="2" t="s">
        <v>85</v>
      </c>
      <c r="G5" s="2" t="s">
        <v>86</v>
      </c>
      <c r="H5" s="2" t="s">
        <v>84</v>
      </c>
      <c r="I5" s="2" t="s">
        <v>85</v>
      </c>
      <c r="J5" s="2" t="s">
        <v>86</v>
      </c>
    </row>
    <row r="6" spans="1:10" x14ac:dyDescent="0.2">
      <c r="A6" s="3" t="s">
        <v>18</v>
      </c>
      <c r="B6" s="4">
        <v>0</v>
      </c>
      <c r="C6" s="5">
        <v>0</v>
      </c>
      <c r="D6" s="5">
        <v>0</v>
      </c>
      <c r="E6" s="4">
        <v>0</v>
      </c>
      <c r="F6" s="5">
        <v>0</v>
      </c>
      <c r="G6" s="5">
        <v>0</v>
      </c>
      <c r="H6" s="4">
        <v>0</v>
      </c>
      <c r="I6" s="5">
        <v>0</v>
      </c>
      <c r="J6" s="5">
        <v>0</v>
      </c>
    </row>
    <row r="7" spans="1:10" x14ac:dyDescent="0.2">
      <c r="A7" s="3" t="s">
        <v>19</v>
      </c>
      <c r="B7" s="3">
        <v>0</v>
      </c>
      <c r="C7" s="6">
        <v>0</v>
      </c>
      <c r="D7" s="6">
        <v>0</v>
      </c>
      <c r="E7" s="3">
        <v>0</v>
      </c>
      <c r="F7" s="6">
        <v>0</v>
      </c>
      <c r="G7" s="6">
        <v>0</v>
      </c>
      <c r="H7" s="3">
        <v>0</v>
      </c>
      <c r="I7" s="6">
        <v>0</v>
      </c>
      <c r="J7" s="6">
        <v>0</v>
      </c>
    </row>
    <row r="8" spans="1:10" x14ac:dyDescent="0.2">
      <c r="A8" s="3" t="s">
        <v>20</v>
      </c>
      <c r="B8" s="4">
        <v>0</v>
      </c>
      <c r="C8" s="5">
        <v>0</v>
      </c>
      <c r="D8" s="5">
        <v>0</v>
      </c>
      <c r="E8" s="4">
        <v>0</v>
      </c>
      <c r="F8" s="5">
        <v>0</v>
      </c>
      <c r="G8" s="5">
        <v>0</v>
      </c>
      <c r="H8" s="4">
        <v>0</v>
      </c>
      <c r="I8" s="5">
        <v>0</v>
      </c>
      <c r="J8" s="5">
        <v>0</v>
      </c>
    </row>
    <row r="9" spans="1:10" x14ac:dyDescent="0.2">
      <c r="A9" s="3" t="s">
        <v>21</v>
      </c>
      <c r="B9" s="3">
        <v>0</v>
      </c>
      <c r="C9" s="6">
        <v>0</v>
      </c>
      <c r="D9" s="6">
        <v>0</v>
      </c>
      <c r="E9" s="3">
        <v>0</v>
      </c>
      <c r="F9" s="6">
        <v>0</v>
      </c>
      <c r="G9" s="6">
        <v>0</v>
      </c>
      <c r="H9" s="3">
        <v>0</v>
      </c>
      <c r="I9" s="6">
        <v>0</v>
      </c>
      <c r="J9" s="6">
        <v>0</v>
      </c>
    </row>
    <row r="10" spans="1:10" x14ac:dyDescent="0.2">
      <c r="A10" s="3" t="s">
        <v>22</v>
      </c>
      <c r="B10" s="4">
        <v>0</v>
      </c>
      <c r="C10" s="5">
        <v>0</v>
      </c>
      <c r="D10" s="5">
        <v>0</v>
      </c>
      <c r="E10" s="4">
        <v>0</v>
      </c>
      <c r="F10" s="5">
        <v>0</v>
      </c>
      <c r="G10" s="5">
        <v>0</v>
      </c>
      <c r="H10" s="4">
        <v>0</v>
      </c>
      <c r="I10" s="5">
        <v>0</v>
      </c>
      <c r="J10" s="5">
        <v>0</v>
      </c>
    </row>
    <row r="11" spans="1:10" x14ac:dyDescent="0.2">
      <c r="A11" s="3" t="s">
        <v>23</v>
      </c>
      <c r="B11" s="3">
        <v>0</v>
      </c>
      <c r="C11" s="6">
        <v>0</v>
      </c>
      <c r="D11" s="6">
        <v>0</v>
      </c>
      <c r="E11" s="3">
        <v>0</v>
      </c>
      <c r="F11" s="6">
        <v>0</v>
      </c>
      <c r="G11" s="6">
        <v>0</v>
      </c>
      <c r="H11" s="3">
        <v>0</v>
      </c>
      <c r="I11" s="6">
        <v>0</v>
      </c>
      <c r="J11" s="6">
        <v>0</v>
      </c>
    </row>
    <row r="12" spans="1:10" x14ac:dyDescent="0.2">
      <c r="A12" s="3" t="s">
        <v>24</v>
      </c>
      <c r="B12" s="4">
        <v>0</v>
      </c>
      <c r="C12" s="5">
        <v>0</v>
      </c>
      <c r="D12" s="5">
        <v>0</v>
      </c>
      <c r="E12" s="4">
        <v>0</v>
      </c>
      <c r="F12" s="5">
        <v>0</v>
      </c>
      <c r="G12" s="5">
        <v>0</v>
      </c>
      <c r="H12" s="4">
        <v>0</v>
      </c>
      <c r="I12" s="5">
        <v>0</v>
      </c>
      <c r="J12" s="5">
        <v>0</v>
      </c>
    </row>
    <row r="13" spans="1:10" x14ac:dyDescent="0.2">
      <c r="A13" s="3" t="s">
        <v>25</v>
      </c>
      <c r="B13" s="3">
        <v>0</v>
      </c>
      <c r="C13" s="6">
        <v>0</v>
      </c>
      <c r="D13" s="6">
        <v>0</v>
      </c>
      <c r="E13" s="3">
        <v>0</v>
      </c>
      <c r="F13" s="6">
        <v>0</v>
      </c>
      <c r="G13" s="6">
        <v>0</v>
      </c>
      <c r="H13" s="3">
        <v>0</v>
      </c>
      <c r="I13" s="6">
        <v>0</v>
      </c>
      <c r="J13" s="6">
        <v>0</v>
      </c>
    </row>
    <row r="14" spans="1:10" x14ac:dyDescent="0.2">
      <c r="A14" s="3" t="s">
        <v>26</v>
      </c>
      <c r="B14" s="4">
        <v>498</v>
      </c>
      <c r="C14" s="5">
        <v>0.82931730000000003</v>
      </c>
      <c r="D14" s="5">
        <v>0.88152609999999998</v>
      </c>
      <c r="E14" s="4">
        <v>404</v>
      </c>
      <c r="F14" s="5">
        <v>0.81188119999999997</v>
      </c>
      <c r="G14" s="5">
        <v>0.89356440000000004</v>
      </c>
      <c r="H14" s="4">
        <v>11</v>
      </c>
      <c r="I14" s="5">
        <v>0.90909090000000004</v>
      </c>
      <c r="J14" s="5">
        <v>0.90909090000000004</v>
      </c>
    </row>
    <row r="15" spans="1:10" x14ac:dyDescent="0.2">
      <c r="A15" s="3" t="s">
        <v>27</v>
      </c>
      <c r="B15" s="3">
        <v>77</v>
      </c>
      <c r="C15" s="6">
        <v>0.98701300000000003</v>
      </c>
      <c r="D15" s="6">
        <v>0.98701300000000003</v>
      </c>
      <c r="E15" s="3">
        <v>45</v>
      </c>
      <c r="F15" s="6">
        <v>0.86666670000000001</v>
      </c>
      <c r="G15" s="6">
        <v>0.88888889999999998</v>
      </c>
      <c r="H15" s="3">
        <v>1</v>
      </c>
      <c r="I15" s="6">
        <v>1</v>
      </c>
      <c r="J15" s="6">
        <v>1</v>
      </c>
    </row>
    <row r="16" spans="1:10" x14ac:dyDescent="0.2">
      <c r="A16" s="3" t="s">
        <v>28</v>
      </c>
      <c r="B16" s="4">
        <v>438</v>
      </c>
      <c r="C16" s="5">
        <v>0.7899543</v>
      </c>
      <c r="D16" s="5">
        <v>0.8767123</v>
      </c>
      <c r="E16" s="4">
        <v>381</v>
      </c>
      <c r="F16" s="5">
        <v>0.79790030000000001</v>
      </c>
      <c r="G16" s="5">
        <v>0.89501310000000001</v>
      </c>
      <c r="H16" s="4">
        <v>3</v>
      </c>
      <c r="I16" s="5">
        <v>1</v>
      </c>
      <c r="J16" s="5">
        <v>1</v>
      </c>
    </row>
    <row r="17" spans="1:10" x14ac:dyDescent="0.2">
      <c r="A17" s="3" t="s">
        <v>29</v>
      </c>
      <c r="B17" s="3">
        <v>97</v>
      </c>
      <c r="C17" s="6">
        <v>0.97938139999999996</v>
      </c>
      <c r="D17" s="6">
        <v>0.97938139999999996</v>
      </c>
      <c r="E17" s="3">
        <v>97</v>
      </c>
      <c r="F17" s="6">
        <v>0.93814430000000004</v>
      </c>
      <c r="G17" s="6">
        <v>0.96907220000000005</v>
      </c>
      <c r="H17" s="3">
        <v>2</v>
      </c>
      <c r="I17" s="6">
        <v>1</v>
      </c>
      <c r="J17" s="6">
        <v>1</v>
      </c>
    </row>
    <row r="18" spans="1:10" x14ac:dyDescent="0.2">
      <c r="A18" s="7" t="s">
        <v>87</v>
      </c>
      <c r="B18" s="8">
        <f>SUM(B6:B17)</f>
        <v>1110</v>
      </c>
      <c r="C18" s="9">
        <f>((B6*C6)+(B7*C7)+(B8*C8)+(B9*C9)+(B10*C10)+(B11*C11)+(B12*C12)+(B13*C13)+(B14*C14)+(B15*C15)+(B16*C16)+(B17*C17))/B18</f>
        <v>0.83783783387387389</v>
      </c>
      <c r="D18" s="9">
        <f>((B6*D6)+(B7*D7)+(B8*D8)+(B9*D9)+(B10*D10)+(B11*D11)+(B12*D12)+(B13*D13)+(B14*D14)+(B15*D15)+(B16*D16)+(B17*D17))/B18</f>
        <v>0.89549547927927919</v>
      </c>
      <c r="E18" s="8">
        <f>SUM(E6:E17)</f>
        <v>927</v>
      </c>
      <c r="F18" s="9">
        <f>((E6*F6)+(E7*F7)+(E8*F8)+(E9*F9)+(E10*F10)+(E11*F11)+(E12*F12)+(E13*F13)+(E14*F14)+(E15*F15)+(E16*F16)+(E17*F17))/E18</f>
        <v>0.82200649158576045</v>
      </c>
      <c r="G18" s="9">
        <f>((E6*G6)+(E7*G7)+(E8*G8)+(E9*G9)+(E10*G10)+(E11*G11)+(E12*G12)+(E13*G13)+(E14*G14)+(E15*G15)+(E16*G16)+(E17*G17))/E18</f>
        <v>0.90183388629989214</v>
      </c>
      <c r="H18" s="8">
        <f>SUM(H6:H17)</f>
        <v>17</v>
      </c>
      <c r="I18" s="9">
        <f>((H6*I6)+(H7*I7)+(H8*I8)+(H9*I9)+(H10*I10)+(H11*I11)+(H12*I12)+(H13*I13)+(H14*I14)+(H15*I15)+(H16*I16)+(H17*I17))/H18</f>
        <v>0.94117646470588234</v>
      </c>
      <c r="J18" s="9">
        <f>((H6*J6)+(H7*J7)+(H8*J8)+(H9*J9)+(H10*J10)+(H11*J11)+(H12*J12)+(H13*J13)+(H14*J14)+(H15*J15)+(H16*J16)+(H17*J17))/H18</f>
        <v>0.94117646470588234</v>
      </c>
    </row>
    <row r="20" spans="1:10" x14ac:dyDescent="0.2">
      <c r="B20" s="32" t="s">
        <v>100</v>
      </c>
      <c r="C20" s="32"/>
      <c r="D20" s="32"/>
      <c r="E20" s="32" t="s">
        <v>101</v>
      </c>
      <c r="F20" s="32"/>
      <c r="G20" s="32"/>
      <c r="H20" s="32" t="s">
        <v>102</v>
      </c>
      <c r="I20" s="32"/>
      <c r="J20" s="32"/>
    </row>
    <row r="21" spans="1:10" x14ac:dyDescent="0.2">
      <c r="A21" s="2" t="s">
        <v>31</v>
      </c>
      <c r="B21" s="2" t="s">
        <v>84</v>
      </c>
      <c r="C21" s="2" t="s">
        <v>85</v>
      </c>
      <c r="D21" s="2" t="s">
        <v>86</v>
      </c>
      <c r="E21" s="2" t="s">
        <v>84</v>
      </c>
      <c r="F21" s="2" t="s">
        <v>85</v>
      </c>
      <c r="G21" s="2" t="s">
        <v>86</v>
      </c>
      <c r="H21" s="2" t="s">
        <v>84</v>
      </c>
      <c r="I21" s="2" t="s">
        <v>85</v>
      </c>
      <c r="J21" s="2" t="s">
        <v>86</v>
      </c>
    </row>
    <row r="22" spans="1:10" x14ac:dyDescent="0.2">
      <c r="A22" s="3" t="s">
        <v>59</v>
      </c>
      <c r="B22" s="4">
        <v>1110</v>
      </c>
      <c r="C22" s="5">
        <v>0.83873869999999995</v>
      </c>
      <c r="D22" s="5">
        <v>0.8954955</v>
      </c>
      <c r="E22" s="4">
        <v>927</v>
      </c>
      <c r="F22" s="5">
        <v>0.82200649999999997</v>
      </c>
      <c r="G22" s="5">
        <v>0.90183389999999997</v>
      </c>
      <c r="H22" s="4">
        <v>17</v>
      </c>
      <c r="I22" s="5">
        <v>0.94117649999999997</v>
      </c>
      <c r="J22" s="5">
        <v>0.94117649999999997</v>
      </c>
    </row>
    <row r="23" spans="1:10" x14ac:dyDescent="0.2">
      <c r="A23" s="7" t="s">
        <v>87</v>
      </c>
      <c r="B23" s="8">
        <f>SUM(B22:B22)</f>
        <v>1110</v>
      </c>
      <c r="C23" s="9">
        <f>((B22*C22))/B23</f>
        <v>0.83873869999999995</v>
      </c>
      <c r="D23" s="9">
        <f>((B22*D22))/B23</f>
        <v>0.8954955</v>
      </c>
      <c r="E23" s="8">
        <f>SUM(E22:E22)</f>
        <v>927</v>
      </c>
      <c r="F23" s="9">
        <f>((E22*F22))/E23</f>
        <v>0.82200649999999997</v>
      </c>
      <c r="G23" s="9">
        <f>((E22*G22))/E23</f>
        <v>0.90183389999999997</v>
      </c>
      <c r="H23" s="8">
        <f>SUM(H22:H22)</f>
        <v>17</v>
      </c>
      <c r="I23" s="9">
        <f>((H22*I22))/H23</f>
        <v>0.94117649999999997</v>
      </c>
      <c r="J23" s="9">
        <f>((H22*J22))/H23</f>
        <v>0.94117649999999997</v>
      </c>
    </row>
    <row r="26" spans="1:10" ht="21" x14ac:dyDescent="0.35">
      <c r="A26" s="33" t="s">
        <v>35</v>
      </c>
      <c r="B26" s="34"/>
      <c r="C26" s="34"/>
      <c r="D26" s="34"/>
      <c r="E26" s="34"/>
      <c r="F26" s="34"/>
      <c r="G26" s="34"/>
      <c r="H26" s="34"/>
      <c r="I26" s="34"/>
      <c r="J26" s="34"/>
    </row>
    <row r="28" spans="1:10" x14ac:dyDescent="0.2">
      <c r="A28" s="29" t="s">
        <v>36</v>
      </c>
      <c r="B28" s="30"/>
      <c r="C28" s="31" t="s">
        <v>37</v>
      </c>
      <c r="D28" s="31"/>
      <c r="E28" s="31"/>
      <c r="F28" s="31"/>
      <c r="G28" s="31"/>
      <c r="H28" s="31"/>
      <c r="I28" s="31"/>
      <c r="J28" s="31"/>
    </row>
    <row r="29" spans="1:10" x14ac:dyDescent="0.2">
      <c r="A29" s="29" t="s">
        <v>40</v>
      </c>
      <c r="B29" s="30"/>
      <c r="C29" s="31" t="s">
        <v>41</v>
      </c>
      <c r="D29" s="31"/>
      <c r="E29" s="31"/>
      <c r="F29" s="31"/>
      <c r="G29" s="31"/>
      <c r="H29" s="31"/>
      <c r="I29" s="31"/>
      <c r="J29" s="31"/>
    </row>
    <row r="30" spans="1:10" x14ac:dyDescent="0.2">
      <c r="A30" s="29" t="s">
        <v>73</v>
      </c>
      <c r="B30" s="30"/>
      <c r="C30" s="31" t="s">
        <v>88</v>
      </c>
      <c r="D30" s="31"/>
      <c r="E30" s="31"/>
      <c r="F30" s="31"/>
      <c r="G30" s="31"/>
      <c r="H30" s="31"/>
      <c r="I30" s="31"/>
      <c r="J30" s="31"/>
    </row>
    <row r="31" spans="1:10" x14ac:dyDescent="0.2">
      <c r="A31" s="29" t="s">
        <v>75</v>
      </c>
      <c r="B31" s="30"/>
      <c r="C31" s="31" t="s">
        <v>76</v>
      </c>
      <c r="D31" s="31"/>
      <c r="E31" s="31"/>
      <c r="F31" s="31"/>
      <c r="G31" s="31"/>
      <c r="H31" s="31"/>
      <c r="I31" s="31"/>
      <c r="J31" s="31"/>
    </row>
  </sheetData>
  <sheetProtection formatCells="0" formatColumns="0" formatRows="0" insertColumns="0" insertRows="0" insertHyperlinks="0" deleteColumns="0" deleteRows="0" sort="0" autoFilter="0" pivotTables="0"/>
  <mergeCells count="17"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ageMargins left="0.4" right="0.4" top="0.6" bottom="0.6" header="0.3" footer="0.3"/>
  <pageSetup fitToHeight="0" orientation="landscape"/>
  <headerFooter>
    <oddHeader>&amp;L&amp;B2017-2018 IVC Research Report for COMM&amp;RPrinted on &amp;D</oddHeader>
    <oddFooter>&amp;L&amp;BGenerated By: Office of Institutional Research&amp;RPage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26" sqref="D26"/>
    </sheetView>
  </sheetViews>
  <sheetFormatPr defaultRowHeight="12.75" x14ac:dyDescent="0.2"/>
  <cols>
    <col min="1" max="1" width="25" customWidth="1"/>
    <col min="2" max="4" width="20" customWidth="1"/>
    <col min="5" max="5" width="35" customWidth="1"/>
    <col min="6" max="6" width="25" customWidth="1"/>
  </cols>
  <sheetData>
    <row r="1" spans="1:6" ht="21" x14ac:dyDescent="0.35">
      <c r="A1" s="33" t="s">
        <v>103</v>
      </c>
      <c r="B1" s="34"/>
      <c r="C1" s="34"/>
      <c r="D1" s="34"/>
      <c r="E1" s="34"/>
      <c r="F1" s="34"/>
    </row>
    <row r="2" spans="1:6" ht="15.75" x14ac:dyDescent="0.25">
      <c r="A2" s="35" t="s">
        <v>104</v>
      </c>
      <c r="B2" s="34"/>
      <c r="C2" s="34"/>
      <c r="D2" s="34"/>
      <c r="E2" s="34"/>
      <c r="F2" s="34"/>
    </row>
    <row r="4" spans="1:6" x14ac:dyDescent="0.2">
      <c r="A4" s="2" t="s">
        <v>105</v>
      </c>
      <c r="B4" s="2" t="s">
        <v>106</v>
      </c>
      <c r="C4" s="2" t="s">
        <v>107</v>
      </c>
      <c r="D4" s="2" t="s">
        <v>108</v>
      </c>
      <c r="E4" s="2" t="s">
        <v>109</v>
      </c>
      <c r="F4" s="2" t="s">
        <v>110</v>
      </c>
    </row>
    <row r="5" spans="1:6" x14ac:dyDescent="0.2">
      <c r="A5" s="20" t="s">
        <v>57</v>
      </c>
      <c r="B5" s="20" t="s">
        <v>158</v>
      </c>
      <c r="C5" s="20" t="s">
        <v>159</v>
      </c>
      <c r="D5" s="20" t="s">
        <v>160</v>
      </c>
      <c r="E5" s="21" t="s">
        <v>161</v>
      </c>
      <c r="F5" s="20">
        <v>10</v>
      </c>
    </row>
    <row r="6" spans="1:6" x14ac:dyDescent="0.2">
      <c r="A6" s="18" t="s">
        <v>57</v>
      </c>
      <c r="B6" s="18" t="s">
        <v>158</v>
      </c>
      <c r="C6" s="18" t="s">
        <v>162</v>
      </c>
      <c r="D6" s="18" t="s">
        <v>163</v>
      </c>
      <c r="E6" s="19" t="s">
        <v>161</v>
      </c>
      <c r="F6" s="18">
        <v>1</v>
      </c>
    </row>
    <row r="7" spans="1:6" x14ac:dyDescent="0.2">
      <c r="A7" s="22" t="s">
        <v>58</v>
      </c>
      <c r="B7" s="22" t="s">
        <v>158</v>
      </c>
      <c r="C7" s="22" t="s">
        <v>159</v>
      </c>
      <c r="D7" s="22" t="s">
        <v>160</v>
      </c>
      <c r="E7" s="23" t="s">
        <v>161</v>
      </c>
      <c r="F7" s="22">
        <v>11</v>
      </c>
    </row>
    <row r="8" spans="1:6" x14ac:dyDescent="0.2">
      <c r="A8" s="18" t="s">
        <v>59</v>
      </c>
      <c r="B8" s="18" t="s">
        <v>111</v>
      </c>
      <c r="C8" s="18" t="s">
        <v>112</v>
      </c>
      <c r="D8" s="18" t="s">
        <v>113</v>
      </c>
      <c r="E8" s="19" t="s">
        <v>0</v>
      </c>
      <c r="F8" s="18">
        <v>1</v>
      </c>
    </row>
    <row r="9" spans="1:6" x14ac:dyDescent="0.2">
      <c r="A9" s="22" t="s">
        <v>59</v>
      </c>
      <c r="B9" s="22" t="s">
        <v>158</v>
      </c>
      <c r="C9" s="22" t="s">
        <v>159</v>
      </c>
      <c r="D9" s="22" t="s">
        <v>160</v>
      </c>
      <c r="E9" s="23" t="s">
        <v>161</v>
      </c>
      <c r="F9" s="22">
        <v>4</v>
      </c>
    </row>
    <row r="10" spans="1:6" x14ac:dyDescent="0.2">
      <c r="A10" s="12"/>
      <c r="B10" s="12"/>
      <c r="C10" s="12"/>
      <c r="D10" s="12"/>
      <c r="E10" s="13" t="s">
        <v>87</v>
      </c>
      <c r="F10" s="8">
        <f>SUM(F5:F9)</f>
        <v>27</v>
      </c>
    </row>
    <row r="13" spans="1:6" ht="21" x14ac:dyDescent="0.35">
      <c r="A13" s="33" t="s">
        <v>35</v>
      </c>
      <c r="B13" s="34"/>
      <c r="C13" s="34"/>
      <c r="D13" s="34"/>
      <c r="E13" s="34"/>
      <c r="F13" s="34"/>
    </row>
    <row r="15" spans="1:6" ht="30" customHeight="1" x14ac:dyDescent="0.2">
      <c r="A15" s="39" t="s">
        <v>36</v>
      </c>
      <c r="B15" s="30"/>
      <c r="C15" s="37" t="s">
        <v>37</v>
      </c>
      <c r="D15" s="31"/>
      <c r="E15" s="31"/>
      <c r="F15" s="31"/>
    </row>
    <row r="16" spans="1:6" x14ac:dyDescent="0.2">
      <c r="A16" s="39" t="s">
        <v>114</v>
      </c>
      <c r="B16" s="30"/>
      <c r="C16" s="31" t="s">
        <v>115</v>
      </c>
      <c r="D16" s="31"/>
      <c r="E16" s="31"/>
      <c r="F16" s="31"/>
    </row>
    <row r="17" spans="1:6" ht="30" customHeight="1" x14ac:dyDescent="0.2">
      <c r="A17" s="39" t="s">
        <v>116</v>
      </c>
      <c r="B17" s="30"/>
      <c r="C17" s="37" t="s">
        <v>117</v>
      </c>
      <c r="D17" s="31"/>
      <c r="E17" s="31"/>
      <c r="F17" s="31"/>
    </row>
  </sheetData>
  <sheetProtection formatCells="0" formatColumns="0" formatRows="0" insertColumns="0" insertRows="0" insertHyperlinks="0" deleteColumns="0" deleteRows="0" sort="0" autoFilter="0" pivotTables="0"/>
  <mergeCells count="9">
    <mergeCell ref="A16:B16"/>
    <mergeCell ref="C16:F16"/>
    <mergeCell ref="A17:B17"/>
    <mergeCell ref="C17:F17"/>
    <mergeCell ref="A1:F1"/>
    <mergeCell ref="A2:F2"/>
    <mergeCell ref="A13:F13"/>
    <mergeCell ref="A15:B15"/>
    <mergeCell ref="C15:F15"/>
  </mergeCells>
  <pageMargins left="0.4" right="0.4" top="0.6" bottom="0.6" header="0.3" footer="0.3"/>
  <pageSetup orientation="landscape"/>
  <headerFooter>
    <oddHeader>&amp;L&amp;B2017-2018 IVC Research Report for COMM&amp;RPrinted on &amp;D</oddHeader>
    <oddFooter>&amp;L&amp;BGenerated By: Office of Institutional Research&amp;RPage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workbookViewId="0">
      <selection activeCell="R6" sqref="R6"/>
    </sheetView>
  </sheetViews>
  <sheetFormatPr defaultRowHeight="12.75" x14ac:dyDescent="0.2"/>
  <cols>
    <col min="1" max="1" width="15" customWidth="1"/>
    <col min="2" max="2" width="14" hidden="1" customWidth="1"/>
    <col min="3" max="3" width="12" customWidth="1"/>
    <col min="4" max="4" width="8" customWidth="1"/>
    <col min="5" max="10" width="10" customWidth="1"/>
    <col min="11" max="11" width="10" hidden="1" customWidth="1"/>
    <col min="12" max="12" width="10" customWidth="1"/>
    <col min="13" max="13" width="10" hidden="1" customWidth="1"/>
    <col min="14" max="14" width="11" customWidth="1"/>
    <col min="15" max="17" width="8" customWidth="1"/>
    <col min="18" max="18" width="15" customWidth="1"/>
    <col min="19" max="19" width="10" customWidth="1"/>
    <col min="20" max="20" width="15" customWidth="1"/>
  </cols>
  <sheetData>
    <row r="1" spans="1:20" ht="21" x14ac:dyDescent="0.35">
      <c r="A1" s="33" t="s">
        <v>118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5.75" x14ac:dyDescent="0.25">
      <c r="A2" s="35" t="s">
        <v>119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75" x14ac:dyDescent="0.25">
      <c r="A3" s="35" t="s">
        <v>120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5" spans="1:20" x14ac:dyDescent="0.2">
      <c r="A5" s="14" t="s">
        <v>105</v>
      </c>
      <c r="B5" s="10" t="s">
        <v>121</v>
      </c>
      <c r="C5" s="14" t="s">
        <v>122</v>
      </c>
      <c r="D5" s="10" t="s">
        <v>123</v>
      </c>
      <c r="E5" s="10" t="s">
        <v>124</v>
      </c>
      <c r="F5" s="10" t="s">
        <v>125</v>
      </c>
      <c r="G5" s="14" t="s">
        <v>126</v>
      </c>
      <c r="H5" s="14" t="s">
        <v>127</v>
      </c>
      <c r="I5" s="14" t="s">
        <v>128</v>
      </c>
      <c r="J5" s="14" t="s">
        <v>129</v>
      </c>
      <c r="K5" s="14" t="s">
        <v>130</v>
      </c>
      <c r="L5" s="14" t="s">
        <v>131</v>
      </c>
      <c r="M5" s="14" t="s">
        <v>132</v>
      </c>
      <c r="N5" s="14" t="s">
        <v>133</v>
      </c>
      <c r="O5" s="14" t="s">
        <v>134</v>
      </c>
      <c r="P5" s="14" t="s">
        <v>54</v>
      </c>
      <c r="Q5" s="14" t="s">
        <v>55</v>
      </c>
      <c r="R5" s="14" t="s">
        <v>135</v>
      </c>
      <c r="S5" s="14" t="s">
        <v>136</v>
      </c>
      <c r="T5" s="14" t="s">
        <v>137</v>
      </c>
    </row>
    <row r="6" spans="1:20" x14ac:dyDescent="0.2">
      <c r="A6" s="15" t="s">
        <v>59</v>
      </c>
      <c r="B6" s="15" t="s">
        <v>26</v>
      </c>
      <c r="C6" s="15">
        <v>201710</v>
      </c>
      <c r="D6" s="15" t="s">
        <v>111</v>
      </c>
      <c r="E6" s="15" t="s">
        <v>138</v>
      </c>
      <c r="F6" s="15" t="s">
        <v>139</v>
      </c>
      <c r="G6" s="15">
        <v>20</v>
      </c>
      <c r="H6" s="15">
        <v>528</v>
      </c>
      <c r="I6" s="15">
        <v>564</v>
      </c>
      <c r="J6" s="15">
        <v>622</v>
      </c>
      <c r="K6" s="15">
        <v>528</v>
      </c>
      <c r="L6" s="16">
        <v>0.84887000000000001</v>
      </c>
      <c r="M6" s="15">
        <v>564</v>
      </c>
      <c r="N6" s="16">
        <v>0.90674999999999994</v>
      </c>
      <c r="O6" s="15">
        <v>3.375</v>
      </c>
      <c r="P6" s="15">
        <v>2099.25</v>
      </c>
      <c r="Q6" s="15">
        <v>4.07</v>
      </c>
      <c r="R6" s="15">
        <v>515.79</v>
      </c>
      <c r="S6" s="15">
        <v>59.91</v>
      </c>
      <c r="T6" s="15">
        <v>35.04</v>
      </c>
    </row>
    <row r="7" spans="1:20" x14ac:dyDescent="0.2">
      <c r="A7" s="11" t="s">
        <v>59</v>
      </c>
      <c r="B7" s="11" t="s">
        <v>26</v>
      </c>
      <c r="C7" s="11">
        <v>201710</v>
      </c>
      <c r="D7" s="11" t="s">
        <v>111</v>
      </c>
      <c r="E7" s="11" t="s">
        <v>138</v>
      </c>
      <c r="F7" s="11" t="s">
        <v>140</v>
      </c>
      <c r="G7" s="11">
        <v>5</v>
      </c>
      <c r="H7" s="11">
        <v>78</v>
      </c>
      <c r="I7" s="11">
        <v>87</v>
      </c>
      <c r="J7" s="11">
        <v>104</v>
      </c>
      <c r="K7" s="11">
        <v>78</v>
      </c>
      <c r="L7" s="17">
        <v>0.75</v>
      </c>
      <c r="M7" s="11">
        <v>87</v>
      </c>
      <c r="N7" s="17">
        <v>0.83653999999999995</v>
      </c>
      <c r="O7" s="11">
        <v>3.375</v>
      </c>
      <c r="P7" s="11">
        <v>351</v>
      </c>
      <c r="Q7" s="11">
        <v>1</v>
      </c>
      <c r="R7" s="11">
        <v>351</v>
      </c>
      <c r="S7" s="11">
        <v>10.01</v>
      </c>
      <c r="T7" s="11">
        <v>35.06</v>
      </c>
    </row>
    <row r="8" spans="1:20" x14ac:dyDescent="0.2">
      <c r="A8" s="15" t="s">
        <v>59</v>
      </c>
      <c r="B8" s="15" t="s">
        <v>27</v>
      </c>
      <c r="C8" s="15">
        <v>201715</v>
      </c>
      <c r="D8" s="15" t="s">
        <v>111</v>
      </c>
      <c r="E8" s="15" t="s">
        <v>138</v>
      </c>
      <c r="F8" s="15" t="s">
        <v>139</v>
      </c>
      <c r="G8" s="15">
        <v>3</v>
      </c>
      <c r="H8" s="15">
        <v>94</v>
      </c>
      <c r="I8" s="15">
        <v>94</v>
      </c>
      <c r="J8" s="15">
        <v>98</v>
      </c>
      <c r="K8" s="15">
        <v>94</v>
      </c>
      <c r="L8" s="16">
        <v>0.95918000000000003</v>
      </c>
      <c r="M8" s="15">
        <v>94</v>
      </c>
      <c r="N8" s="16">
        <v>0.95918000000000003</v>
      </c>
      <c r="O8" s="15">
        <v>3.375</v>
      </c>
      <c r="P8" s="15">
        <v>330.75</v>
      </c>
      <c r="Q8" s="15">
        <v>0.6</v>
      </c>
      <c r="R8" s="15">
        <v>551.25</v>
      </c>
      <c r="S8" s="15">
        <v>9.57</v>
      </c>
      <c r="T8" s="15">
        <v>34.56</v>
      </c>
    </row>
    <row r="9" spans="1:20" x14ac:dyDescent="0.2">
      <c r="A9" s="11" t="s">
        <v>59</v>
      </c>
      <c r="B9" s="11" t="s">
        <v>28</v>
      </c>
      <c r="C9" s="11">
        <v>201720</v>
      </c>
      <c r="D9" s="11" t="s">
        <v>111</v>
      </c>
      <c r="E9" s="11" t="s">
        <v>138</v>
      </c>
      <c r="F9" s="11" t="s">
        <v>140</v>
      </c>
      <c r="G9" s="11">
        <v>3</v>
      </c>
      <c r="H9" s="11">
        <v>45</v>
      </c>
      <c r="I9" s="11">
        <v>56</v>
      </c>
      <c r="J9" s="11">
        <v>72</v>
      </c>
      <c r="K9" s="11">
        <v>45</v>
      </c>
      <c r="L9" s="17">
        <v>0.625</v>
      </c>
      <c r="M9" s="11">
        <v>56</v>
      </c>
      <c r="N9" s="17">
        <v>0.77778000000000003</v>
      </c>
      <c r="O9" s="11">
        <v>3.375</v>
      </c>
      <c r="P9" s="11">
        <v>243</v>
      </c>
      <c r="Q9" s="11">
        <v>0.6</v>
      </c>
      <c r="R9" s="11">
        <v>405</v>
      </c>
      <c r="S9" s="11">
        <v>6.94</v>
      </c>
      <c r="T9" s="11">
        <v>35.01</v>
      </c>
    </row>
    <row r="10" spans="1:20" x14ac:dyDescent="0.2">
      <c r="A10" s="15" t="s">
        <v>59</v>
      </c>
      <c r="B10" s="15" t="s">
        <v>28</v>
      </c>
      <c r="C10" s="15">
        <v>201720</v>
      </c>
      <c r="D10" s="15" t="s">
        <v>111</v>
      </c>
      <c r="E10" s="15" t="s">
        <v>138</v>
      </c>
      <c r="F10" s="15" t="s">
        <v>139</v>
      </c>
      <c r="G10" s="15">
        <v>18</v>
      </c>
      <c r="H10" s="15">
        <v>438</v>
      </c>
      <c r="I10" s="15">
        <v>477</v>
      </c>
      <c r="J10" s="15">
        <v>533</v>
      </c>
      <c r="K10" s="15">
        <v>438</v>
      </c>
      <c r="L10" s="16">
        <v>0.82176000000000005</v>
      </c>
      <c r="M10" s="15">
        <v>477</v>
      </c>
      <c r="N10" s="16">
        <v>0.89493</v>
      </c>
      <c r="O10" s="15">
        <v>3.375</v>
      </c>
      <c r="P10" s="15">
        <v>1798.875</v>
      </c>
      <c r="Q10" s="15">
        <v>3.6</v>
      </c>
      <c r="R10" s="15">
        <v>499.69</v>
      </c>
      <c r="S10" s="15">
        <v>51.22</v>
      </c>
      <c r="T10" s="15">
        <v>35.119999999999997</v>
      </c>
    </row>
    <row r="11" spans="1:20" x14ac:dyDescent="0.2">
      <c r="A11" s="11" t="s">
        <v>59</v>
      </c>
      <c r="B11" s="11" t="s">
        <v>29</v>
      </c>
      <c r="C11" s="11">
        <v>201730</v>
      </c>
      <c r="D11" s="11" t="s">
        <v>111</v>
      </c>
      <c r="E11" s="11" t="s">
        <v>138</v>
      </c>
      <c r="F11" s="11" t="s">
        <v>140</v>
      </c>
      <c r="G11" s="11">
        <v>1</v>
      </c>
      <c r="H11" s="11">
        <v>19</v>
      </c>
      <c r="I11" s="11">
        <v>19</v>
      </c>
      <c r="J11" s="11">
        <v>21</v>
      </c>
      <c r="K11" s="11">
        <v>19</v>
      </c>
      <c r="L11" s="17">
        <v>0.90476000000000001</v>
      </c>
      <c r="M11" s="11">
        <v>19</v>
      </c>
      <c r="N11" s="17">
        <v>0.90476000000000001</v>
      </c>
      <c r="O11" s="11">
        <v>3.375</v>
      </c>
      <c r="P11" s="11">
        <v>70.875</v>
      </c>
      <c r="Q11" s="11">
        <v>0.2</v>
      </c>
      <c r="R11" s="11">
        <v>354.38</v>
      </c>
      <c r="S11" s="11">
        <v>2.0499999999999998</v>
      </c>
      <c r="T11" s="11">
        <v>34.57</v>
      </c>
    </row>
    <row r="12" spans="1:20" x14ac:dyDescent="0.2">
      <c r="A12" s="15" t="s">
        <v>59</v>
      </c>
      <c r="B12" s="15" t="s">
        <v>29</v>
      </c>
      <c r="C12" s="15">
        <v>201730</v>
      </c>
      <c r="D12" s="15" t="s">
        <v>111</v>
      </c>
      <c r="E12" s="15" t="s">
        <v>138</v>
      </c>
      <c r="F12" s="15" t="s">
        <v>139</v>
      </c>
      <c r="G12" s="15">
        <v>4</v>
      </c>
      <c r="H12" s="15">
        <v>120</v>
      </c>
      <c r="I12" s="15">
        <v>123</v>
      </c>
      <c r="J12" s="15">
        <v>125</v>
      </c>
      <c r="K12" s="15">
        <v>120</v>
      </c>
      <c r="L12" s="16">
        <v>0.96</v>
      </c>
      <c r="M12" s="15">
        <v>123</v>
      </c>
      <c r="N12" s="16">
        <v>0.98399999999999999</v>
      </c>
      <c r="O12" s="15">
        <v>3.375</v>
      </c>
      <c r="P12" s="15">
        <v>421.875</v>
      </c>
      <c r="Q12" s="15">
        <v>0.8</v>
      </c>
      <c r="R12" s="15">
        <v>527.34</v>
      </c>
      <c r="S12" s="15">
        <v>12.25</v>
      </c>
      <c r="T12" s="15">
        <v>34.44</v>
      </c>
    </row>
    <row r="13" spans="1:20" x14ac:dyDescent="0.2">
      <c r="A13" s="11" t="s">
        <v>59</v>
      </c>
      <c r="B13" s="11" t="s">
        <v>26</v>
      </c>
      <c r="C13" s="11">
        <v>201710</v>
      </c>
      <c r="D13" s="11" t="s">
        <v>111</v>
      </c>
      <c r="E13" s="11" t="s">
        <v>141</v>
      </c>
      <c r="F13" s="11" t="s">
        <v>140</v>
      </c>
      <c r="G13" s="11">
        <v>1</v>
      </c>
      <c r="H13" s="11">
        <v>13</v>
      </c>
      <c r="I13" s="11">
        <v>14</v>
      </c>
      <c r="J13" s="11">
        <v>16</v>
      </c>
      <c r="K13" s="11">
        <v>13</v>
      </c>
      <c r="L13" s="17">
        <v>0.8125</v>
      </c>
      <c r="M13" s="11">
        <v>14</v>
      </c>
      <c r="N13" s="17">
        <v>0.875</v>
      </c>
      <c r="O13" s="11">
        <v>3.375</v>
      </c>
      <c r="P13" s="11">
        <v>54</v>
      </c>
      <c r="Q13" s="11">
        <v>0.2</v>
      </c>
      <c r="R13" s="11">
        <v>270</v>
      </c>
      <c r="S13" s="11">
        <v>1.54</v>
      </c>
      <c r="T13" s="11">
        <v>35.06</v>
      </c>
    </row>
    <row r="14" spans="1:20" x14ac:dyDescent="0.2">
      <c r="A14" s="15" t="s">
        <v>59</v>
      </c>
      <c r="B14" s="15" t="s">
        <v>28</v>
      </c>
      <c r="C14" s="15">
        <v>201720</v>
      </c>
      <c r="D14" s="15" t="s">
        <v>111</v>
      </c>
      <c r="E14" s="15" t="s">
        <v>142</v>
      </c>
      <c r="F14" s="15" t="s">
        <v>140</v>
      </c>
      <c r="G14" s="15">
        <v>1</v>
      </c>
      <c r="H14" s="15">
        <v>14</v>
      </c>
      <c r="I14" s="15">
        <v>16</v>
      </c>
      <c r="J14" s="15">
        <v>20</v>
      </c>
      <c r="K14" s="15">
        <v>14</v>
      </c>
      <c r="L14" s="16">
        <v>0.7</v>
      </c>
      <c r="M14" s="15">
        <v>16</v>
      </c>
      <c r="N14" s="16">
        <v>0.8</v>
      </c>
      <c r="O14" s="15">
        <v>3.375</v>
      </c>
      <c r="P14" s="15">
        <v>67.5</v>
      </c>
      <c r="Q14" s="15">
        <v>0.2</v>
      </c>
      <c r="R14" s="15">
        <v>337.5</v>
      </c>
      <c r="S14" s="15">
        <v>1.93</v>
      </c>
      <c r="T14" s="15">
        <v>34.97</v>
      </c>
    </row>
    <row r="15" spans="1:20" x14ac:dyDescent="0.2">
      <c r="A15" s="11" t="s">
        <v>59</v>
      </c>
      <c r="B15" s="11" t="s">
        <v>26</v>
      </c>
      <c r="C15" s="11">
        <v>201710</v>
      </c>
      <c r="D15" s="11" t="s">
        <v>111</v>
      </c>
      <c r="E15" s="11" t="s">
        <v>143</v>
      </c>
      <c r="F15" s="11" t="s">
        <v>140</v>
      </c>
      <c r="G15" s="11">
        <v>2</v>
      </c>
      <c r="H15" s="11">
        <v>27</v>
      </c>
      <c r="I15" s="11">
        <v>35</v>
      </c>
      <c r="J15" s="11">
        <v>40</v>
      </c>
      <c r="K15" s="11">
        <v>27</v>
      </c>
      <c r="L15" s="17">
        <v>0.67500000000000004</v>
      </c>
      <c r="M15" s="11">
        <v>35</v>
      </c>
      <c r="N15" s="17">
        <v>0.875</v>
      </c>
      <c r="O15" s="11">
        <v>3.375</v>
      </c>
      <c r="P15" s="11">
        <v>135</v>
      </c>
      <c r="Q15" s="11">
        <v>0.4</v>
      </c>
      <c r="R15" s="11">
        <v>337.5</v>
      </c>
      <c r="S15" s="11">
        <v>3.85</v>
      </c>
      <c r="T15" s="11">
        <v>35.06</v>
      </c>
    </row>
    <row r="16" spans="1:20" x14ac:dyDescent="0.2">
      <c r="A16" s="15" t="s">
        <v>59</v>
      </c>
      <c r="B16" s="15" t="s">
        <v>26</v>
      </c>
      <c r="C16" s="15">
        <v>201710</v>
      </c>
      <c r="D16" s="15" t="s">
        <v>111</v>
      </c>
      <c r="E16" s="15" t="s">
        <v>143</v>
      </c>
      <c r="F16" s="15" t="s">
        <v>139</v>
      </c>
      <c r="G16" s="15">
        <v>6</v>
      </c>
      <c r="H16" s="15">
        <v>105</v>
      </c>
      <c r="I16" s="15">
        <v>110</v>
      </c>
      <c r="J16" s="15">
        <v>131</v>
      </c>
      <c r="K16" s="15">
        <v>105</v>
      </c>
      <c r="L16" s="16">
        <v>0.80152999999999996</v>
      </c>
      <c r="M16" s="15">
        <v>110</v>
      </c>
      <c r="N16" s="16">
        <v>0.83969000000000005</v>
      </c>
      <c r="O16" s="15">
        <v>3.375</v>
      </c>
      <c r="P16" s="15">
        <v>442.125</v>
      </c>
      <c r="Q16" s="15">
        <v>1.2</v>
      </c>
      <c r="R16" s="15">
        <v>368.44</v>
      </c>
      <c r="S16" s="15">
        <v>12.49</v>
      </c>
      <c r="T16" s="15">
        <v>35.4</v>
      </c>
    </row>
    <row r="17" spans="1:20" x14ac:dyDescent="0.2">
      <c r="A17" s="11" t="s">
        <v>59</v>
      </c>
      <c r="B17" s="11" t="s">
        <v>27</v>
      </c>
      <c r="C17" s="11">
        <v>201715</v>
      </c>
      <c r="D17" s="11" t="s">
        <v>111</v>
      </c>
      <c r="E17" s="11" t="s">
        <v>143</v>
      </c>
      <c r="F17" s="11" t="s">
        <v>139</v>
      </c>
      <c r="G17" s="11">
        <v>1</v>
      </c>
      <c r="H17" s="11">
        <v>22</v>
      </c>
      <c r="I17" s="11">
        <v>23</v>
      </c>
      <c r="J17" s="11">
        <v>25</v>
      </c>
      <c r="K17" s="11">
        <v>22</v>
      </c>
      <c r="L17" s="17">
        <v>0.88</v>
      </c>
      <c r="M17" s="11">
        <v>23</v>
      </c>
      <c r="N17" s="17">
        <v>0.92</v>
      </c>
      <c r="O17" s="11">
        <v>3.375</v>
      </c>
      <c r="P17" s="11">
        <v>84.375</v>
      </c>
      <c r="Q17" s="11">
        <v>0.2</v>
      </c>
      <c r="R17" s="11">
        <v>421.88</v>
      </c>
      <c r="S17" s="11">
        <v>2.44</v>
      </c>
      <c r="T17" s="11">
        <v>34.58</v>
      </c>
    </row>
    <row r="18" spans="1:20" x14ac:dyDescent="0.2">
      <c r="A18" s="15" t="s">
        <v>59</v>
      </c>
      <c r="B18" s="15" t="s">
        <v>28</v>
      </c>
      <c r="C18" s="15">
        <v>201720</v>
      </c>
      <c r="D18" s="15" t="s">
        <v>111</v>
      </c>
      <c r="E18" s="15" t="s">
        <v>143</v>
      </c>
      <c r="F18" s="15" t="s">
        <v>140</v>
      </c>
      <c r="G18" s="15">
        <v>2</v>
      </c>
      <c r="H18" s="15">
        <v>35</v>
      </c>
      <c r="I18" s="15">
        <v>41</v>
      </c>
      <c r="J18" s="15">
        <v>48</v>
      </c>
      <c r="K18" s="15">
        <v>35</v>
      </c>
      <c r="L18" s="16">
        <v>0.72916999999999998</v>
      </c>
      <c r="M18" s="15">
        <v>41</v>
      </c>
      <c r="N18" s="16">
        <v>0.85416999999999998</v>
      </c>
      <c r="O18" s="15">
        <v>3.375</v>
      </c>
      <c r="P18" s="15">
        <v>162</v>
      </c>
      <c r="Q18" s="15">
        <v>0.4</v>
      </c>
      <c r="R18" s="15">
        <v>405</v>
      </c>
      <c r="S18" s="15">
        <v>4.63</v>
      </c>
      <c r="T18" s="15">
        <v>34.99</v>
      </c>
    </row>
    <row r="19" spans="1:20" x14ac:dyDescent="0.2">
      <c r="A19" s="11" t="s">
        <v>59</v>
      </c>
      <c r="B19" s="11" t="s">
        <v>28</v>
      </c>
      <c r="C19" s="11">
        <v>201720</v>
      </c>
      <c r="D19" s="11" t="s">
        <v>111</v>
      </c>
      <c r="E19" s="11" t="s">
        <v>143</v>
      </c>
      <c r="F19" s="11" t="s">
        <v>139</v>
      </c>
      <c r="G19" s="11">
        <v>5</v>
      </c>
      <c r="H19" s="11">
        <v>122</v>
      </c>
      <c r="I19" s="11">
        <v>137</v>
      </c>
      <c r="J19" s="11">
        <v>149</v>
      </c>
      <c r="K19" s="11">
        <v>122</v>
      </c>
      <c r="L19" s="17">
        <v>0.81879000000000002</v>
      </c>
      <c r="M19" s="11">
        <v>137</v>
      </c>
      <c r="N19" s="17">
        <v>0.91946000000000006</v>
      </c>
      <c r="O19" s="11">
        <v>3.375</v>
      </c>
      <c r="P19" s="11">
        <v>502.875</v>
      </c>
      <c r="Q19" s="11">
        <v>1</v>
      </c>
      <c r="R19" s="11">
        <v>502.88</v>
      </c>
      <c r="S19" s="11">
        <v>14.35</v>
      </c>
      <c r="T19" s="11">
        <v>35.04</v>
      </c>
    </row>
    <row r="20" spans="1:20" x14ac:dyDescent="0.2">
      <c r="A20" s="15" t="s">
        <v>59</v>
      </c>
      <c r="B20" s="15" t="s">
        <v>29</v>
      </c>
      <c r="C20" s="15">
        <v>201730</v>
      </c>
      <c r="D20" s="15" t="s">
        <v>111</v>
      </c>
      <c r="E20" s="15" t="s">
        <v>143</v>
      </c>
      <c r="F20" s="15" t="s">
        <v>139</v>
      </c>
      <c r="G20" s="15">
        <v>2</v>
      </c>
      <c r="H20" s="15">
        <v>49</v>
      </c>
      <c r="I20" s="15">
        <v>49</v>
      </c>
      <c r="J20" s="15">
        <v>50</v>
      </c>
      <c r="K20" s="15">
        <v>49</v>
      </c>
      <c r="L20" s="16">
        <v>0.98</v>
      </c>
      <c r="M20" s="15">
        <v>49</v>
      </c>
      <c r="N20" s="16">
        <v>0.98</v>
      </c>
      <c r="O20" s="15">
        <v>3.375</v>
      </c>
      <c r="P20" s="15">
        <v>168.75</v>
      </c>
      <c r="Q20" s="15">
        <v>0.4</v>
      </c>
      <c r="R20" s="15">
        <v>421.88</v>
      </c>
      <c r="S20" s="15">
        <v>4.8899999999999997</v>
      </c>
      <c r="T20" s="15">
        <v>34.51</v>
      </c>
    </row>
  </sheetData>
  <sheetProtection formatCells="0" formatColumns="0" formatRows="0" insertColumns="0" insertRows="0" insertHyperlinks="0" deleteColumns="0" deleteRows="0" sort="0" autoFilter="0" pivotTables="0"/>
  <autoFilter ref="A5:T20"/>
  <mergeCells count="3">
    <mergeCell ref="A1:T1"/>
    <mergeCell ref="A2:T2"/>
    <mergeCell ref="A3:T3"/>
  </mergeCells>
  <conditionalFormatting sqref="L6:L20">
    <cfRule type="cellIs" dxfId="7" priority="1" operator="lessThan">
      <formula>0.7</formula>
    </cfRule>
  </conditionalFormatting>
  <conditionalFormatting sqref="N6:N20">
    <cfRule type="cellIs" dxfId="6" priority="2" operator="lessThan">
      <formula>0.86</formula>
    </cfRule>
  </conditionalFormatting>
  <conditionalFormatting sqref="R6:R20">
    <cfRule type="cellIs" dxfId="5" priority="3" operator="lessThan">
      <formula>565</formula>
    </cfRule>
  </conditionalFormatting>
  <conditionalFormatting sqref="R6:R20">
    <cfRule type="cellIs" dxfId="4" priority="4" operator="greaterThanOrEqual">
      <formula>565</formula>
    </cfRule>
  </conditionalFormatting>
  <pageMargins left="0.4" right="0.4" top="0.6" bottom="0.6" header="0.3" footer="0.3"/>
  <pageSetup fitToHeight="0" orientation="landscape"/>
  <headerFooter>
    <oddHeader>&amp;L&amp;B2017-2018 IVC Research Report for COMM&amp;RPrinted on &amp;D</oddHeader>
    <oddFooter>&amp;L&amp;BGenerated By: Office of Institutional Research&amp;RPage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workbookViewId="0">
      <selection activeCell="R6" sqref="R6"/>
    </sheetView>
  </sheetViews>
  <sheetFormatPr defaultRowHeight="12.75" x14ac:dyDescent="0.2"/>
  <cols>
    <col min="1" max="1" width="15" customWidth="1"/>
    <col min="2" max="2" width="14" hidden="1" customWidth="1"/>
    <col min="3" max="3" width="12" customWidth="1"/>
    <col min="4" max="5" width="8" customWidth="1"/>
    <col min="6" max="9" width="10" customWidth="1"/>
    <col min="10" max="10" width="8" customWidth="1"/>
    <col min="11" max="13" width="10" customWidth="1"/>
    <col min="14" max="14" width="11" customWidth="1"/>
    <col min="15" max="16" width="8" customWidth="1"/>
    <col min="17" max="17" width="15" customWidth="1"/>
    <col min="18" max="18" width="12" customWidth="1"/>
    <col min="19" max="19" width="15" customWidth="1"/>
  </cols>
  <sheetData>
    <row r="1" spans="1:19" ht="21" x14ac:dyDescent="0.35">
      <c r="A1" s="33" t="s">
        <v>144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5.75" x14ac:dyDescent="0.25">
      <c r="A2" s="35" t="s">
        <v>145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5.75" x14ac:dyDescent="0.25">
      <c r="A3" s="35" t="s">
        <v>120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5" spans="1:19" x14ac:dyDescent="0.2">
      <c r="A5" s="14" t="s">
        <v>105</v>
      </c>
      <c r="B5" s="10" t="s">
        <v>121</v>
      </c>
      <c r="C5" s="14" t="s">
        <v>122</v>
      </c>
      <c r="D5" s="14" t="s">
        <v>146</v>
      </c>
      <c r="E5" s="10" t="s">
        <v>123</v>
      </c>
      <c r="F5" s="10" t="s">
        <v>124</v>
      </c>
      <c r="G5" s="10" t="s">
        <v>125</v>
      </c>
      <c r="H5" s="10" t="s">
        <v>147</v>
      </c>
      <c r="I5" s="10" t="s">
        <v>148</v>
      </c>
      <c r="J5" s="14" t="s">
        <v>127</v>
      </c>
      <c r="K5" s="14" t="s">
        <v>128</v>
      </c>
      <c r="L5" s="14" t="s">
        <v>129</v>
      </c>
      <c r="M5" s="14" t="s">
        <v>131</v>
      </c>
      <c r="N5" s="14" t="s">
        <v>133</v>
      </c>
      <c r="O5" s="14" t="s">
        <v>149</v>
      </c>
      <c r="P5" s="14" t="s">
        <v>134</v>
      </c>
      <c r="Q5" s="14" t="s">
        <v>55</v>
      </c>
      <c r="R5" s="14" t="s">
        <v>135</v>
      </c>
      <c r="S5" s="14" t="s">
        <v>136</v>
      </c>
    </row>
    <row r="6" spans="1:19" x14ac:dyDescent="0.2">
      <c r="A6" s="15" t="s">
        <v>59</v>
      </c>
      <c r="B6" s="15" t="s">
        <v>26</v>
      </c>
      <c r="C6" s="15">
        <v>201710</v>
      </c>
      <c r="D6" s="15">
        <v>11074</v>
      </c>
      <c r="E6" s="15" t="s">
        <v>111</v>
      </c>
      <c r="F6" s="15" t="s">
        <v>138</v>
      </c>
      <c r="G6" s="15" t="s">
        <v>139</v>
      </c>
      <c r="H6" s="15" t="s">
        <v>150</v>
      </c>
      <c r="I6" s="15" t="s">
        <v>151</v>
      </c>
      <c r="J6" s="15">
        <v>29</v>
      </c>
      <c r="K6" s="15">
        <v>30</v>
      </c>
      <c r="L6" s="15">
        <v>33</v>
      </c>
      <c r="M6" s="16">
        <v>0.87878999999999996</v>
      </c>
      <c r="N6" s="16">
        <v>0.90908999999999995</v>
      </c>
      <c r="O6" s="15">
        <v>3.21</v>
      </c>
      <c r="P6" s="15">
        <v>3.375</v>
      </c>
      <c r="Q6" s="15">
        <v>0.2</v>
      </c>
      <c r="R6" s="15">
        <v>556.88</v>
      </c>
      <c r="S6" s="15">
        <v>3.42</v>
      </c>
    </row>
    <row r="7" spans="1:19" x14ac:dyDescent="0.2">
      <c r="A7" s="11" t="s">
        <v>59</v>
      </c>
      <c r="B7" s="11" t="s">
        <v>26</v>
      </c>
      <c r="C7" s="11">
        <v>201710</v>
      </c>
      <c r="D7" s="11">
        <v>11075</v>
      </c>
      <c r="E7" s="11" t="s">
        <v>111</v>
      </c>
      <c r="F7" s="11" t="s">
        <v>138</v>
      </c>
      <c r="G7" s="11" t="s">
        <v>139</v>
      </c>
      <c r="H7" s="11" t="s">
        <v>150</v>
      </c>
      <c r="I7" s="11" t="s">
        <v>151</v>
      </c>
      <c r="J7" s="11">
        <v>35</v>
      </c>
      <c r="K7" s="11">
        <v>36</v>
      </c>
      <c r="L7" s="11">
        <v>36</v>
      </c>
      <c r="M7" s="17">
        <v>0.97221999999999997</v>
      </c>
      <c r="N7" s="17">
        <v>1</v>
      </c>
      <c r="O7" s="11">
        <v>3.64</v>
      </c>
      <c r="P7" s="11">
        <v>3.375</v>
      </c>
      <c r="Q7" s="11">
        <v>0.2</v>
      </c>
      <c r="R7" s="11">
        <v>607.5</v>
      </c>
      <c r="S7" s="11">
        <v>3.73</v>
      </c>
    </row>
    <row r="8" spans="1:19" x14ac:dyDescent="0.2">
      <c r="A8" s="15" t="s">
        <v>59</v>
      </c>
      <c r="B8" s="15" t="s">
        <v>26</v>
      </c>
      <c r="C8" s="15">
        <v>201710</v>
      </c>
      <c r="D8" s="15">
        <v>11076</v>
      </c>
      <c r="E8" s="15" t="s">
        <v>111</v>
      </c>
      <c r="F8" s="15" t="s">
        <v>138</v>
      </c>
      <c r="G8" s="15" t="s">
        <v>139</v>
      </c>
      <c r="H8" s="15" t="s">
        <v>150</v>
      </c>
      <c r="I8" s="15" t="s">
        <v>152</v>
      </c>
      <c r="J8" s="15">
        <v>26</v>
      </c>
      <c r="K8" s="15">
        <v>28</v>
      </c>
      <c r="L8" s="15">
        <v>30</v>
      </c>
      <c r="M8" s="16">
        <v>0.86667000000000005</v>
      </c>
      <c r="N8" s="16">
        <v>0.93332999999999999</v>
      </c>
      <c r="O8" s="15">
        <v>3.17</v>
      </c>
      <c r="P8" s="15">
        <v>3.375</v>
      </c>
      <c r="Q8" s="15">
        <v>0.2</v>
      </c>
      <c r="R8" s="15">
        <v>506.25</v>
      </c>
      <c r="S8" s="15">
        <v>3.11</v>
      </c>
    </row>
    <row r="9" spans="1:19" x14ac:dyDescent="0.2">
      <c r="A9" s="11" t="s">
        <v>59</v>
      </c>
      <c r="B9" s="11" t="s">
        <v>26</v>
      </c>
      <c r="C9" s="11">
        <v>201710</v>
      </c>
      <c r="D9" s="11">
        <v>11077</v>
      </c>
      <c r="E9" s="11" t="s">
        <v>111</v>
      </c>
      <c r="F9" s="11" t="s">
        <v>138</v>
      </c>
      <c r="G9" s="11" t="s">
        <v>139</v>
      </c>
      <c r="H9" s="11" t="s">
        <v>150</v>
      </c>
      <c r="I9" s="11" t="s">
        <v>151</v>
      </c>
      <c r="J9" s="11">
        <v>32</v>
      </c>
      <c r="K9" s="11">
        <v>34</v>
      </c>
      <c r="L9" s="11">
        <v>35</v>
      </c>
      <c r="M9" s="17">
        <v>0.91429000000000005</v>
      </c>
      <c r="N9" s="17">
        <v>0.97143000000000002</v>
      </c>
      <c r="O9" s="11">
        <v>3.31</v>
      </c>
      <c r="P9" s="11">
        <v>3.375</v>
      </c>
      <c r="Q9" s="11">
        <v>0.2</v>
      </c>
      <c r="R9" s="11">
        <v>590.63</v>
      </c>
      <c r="S9" s="11">
        <v>3.63</v>
      </c>
    </row>
    <row r="10" spans="1:19" x14ac:dyDescent="0.2">
      <c r="A10" s="15" t="s">
        <v>59</v>
      </c>
      <c r="B10" s="15" t="s">
        <v>26</v>
      </c>
      <c r="C10" s="15">
        <v>201710</v>
      </c>
      <c r="D10" s="15">
        <v>11078</v>
      </c>
      <c r="E10" s="15" t="s">
        <v>111</v>
      </c>
      <c r="F10" s="15" t="s">
        <v>138</v>
      </c>
      <c r="G10" s="15" t="s">
        <v>139</v>
      </c>
      <c r="H10" s="15" t="s">
        <v>150</v>
      </c>
      <c r="I10" s="15" t="s">
        <v>151</v>
      </c>
      <c r="J10" s="15">
        <v>36</v>
      </c>
      <c r="K10" s="15">
        <v>37</v>
      </c>
      <c r="L10" s="15">
        <v>38</v>
      </c>
      <c r="M10" s="16">
        <v>0.94737000000000005</v>
      </c>
      <c r="N10" s="16">
        <v>0.97367999999999999</v>
      </c>
      <c r="O10" s="15">
        <v>3.42</v>
      </c>
      <c r="P10" s="15">
        <v>3.375</v>
      </c>
      <c r="Q10" s="15">
        <v>0.27</v>
      </c>
      <c r="R10" s="15">
        <v>475</v>
      </c>
      <c r="S10" s="15">
        <v>3.94</v>
      </c>
    </row>
    <row r="11" spans="1:19" x14ac:dyDescent="0.2">
      <c r="A11" s="11" t="s">
        <v>59</v>
      </c>
      <c r="B11" s="11" t="s">
        <v>26</v>
      </c>
      <c r="C11" s="11">
        <v>201710</v>
      </c>
      <c r="D11" s="11">
        <v>11079</v>
      </c>
      <c r="E11" s="11" t="s">
        <v>111</v>
      </c>
      <c r="F11" s="11" t="s">
        <v>138</v>
      </c>
      <c r="G11" s="11" t="s">
        <v>139</v>
      </c>
      <c r="H11" s="11" t="s">
        <v>150</v>
      </c>
      <c r="I11" s="11" t="s">
        <v>153</v>
      </c>
      <c r="J11" s="11">
        <v>25</v>
      </c>
      <c r="K11" s="11">
        <v>28</v>
      </c>
      <c r="L11" s="11">
        <v>30</v>
      </c>
      <c r="M11" s="17">
        <v>0.83333000000000002</v>
      </c>
      <c r="N11" s="17">
        <v>0.93332999999999999</v>
      </c>
      <c r="O11" s="11">
        <v>2.83</v>
      </c>
      <c r="P11" s="11">
        <v>3.375</v>
      </c>
      <c r="Q11" s="11">
        <v>0.2</v>
      </c>
      <c r="R11" s="11">
        <v>506.25</v>
      </c>
      <c r="S11" s="11">
        <v>3.11</v>
      </c>
    </row>
    <row r="12" spans="1:19" x14ac:dyDescent="0.2">
      <c r="A12" s="15" t="s">
        <v>59</v>
      </c>
      <c r="B12" s="15" t="s">
        <v>26</v>
      </c>
      <c r="C12" s="15">
        <v>201710</v>
      </c>
      <c r="D12" s="15">
        <v>11080</v>
      </c>
      <c r="E12" s="15" t="s">
        <v>111</v>
      </c>
      <c r="F12" s="15" t="s">
        <v>138</v>
      </c>
      <c r="G12" s="15" t="s">
        <v>139</v>
      </c>
      <c r="H12" s="15" t="s">
        <v>150</v>
      </c>
      <c r="I12" s="15" t="s">
        <v>152</v>
      </c>
      <c r="J12" s="15">
        <v>23</v>
      </c>
      <c r="K12" s="15">
        <v>26</v>
      </c>
      <c r="L12" s="15">
        <v>28</v>
      </c>
      <c r="M12" s="16">
        <v>0.82142999999999999</v>
      </c>
      <c r="N12" s="16">
        <v>0.92857000000000001</v>
      </c>
      <c r="O12" s="15">
        <v>2.93</v>
      </c>
      <c r="P12" s="15">
        <v>3.375</v>
      </c>
      <c r="Q12" s="15">
        <v>0.2</v>
      </c>
      <c r="R12" s="15">
        <v>472.5</v>
      </c>
      <c r="S12" s="15">
        <v>2.9</v>
      </c>
    </row>
    <row r="13" spans="1:19" x14ac:dyDescent="0.2">
      <c r="A13" s="11" t="s">
        <v>59</v>
      </c>
      <c r="B13" s="11" t="s">
        <v>26</v>
      </c>
      <c r="C13" s="11">
        <v>201710</v>
      </c>
      <c r="D13" s="11">
        <v>11081</v>
      </c>
      <c r="E13" s="11" t="s">
        <v>111</v>
      </c>
      <c r="F13" s="11" t="s">
        <v>138</v>
      </c>
      <c r="G13" s="11" t="s">
        <v>139</v>
      </c>
      <c r="H13" s="11" t="s">
        <v>150</v>
      </c>
      <c r="I13" s="11" t="s">
        <v>151</v>
      </c>
      <c r="J13" s="11">
        <v>36</v>
      </c>
      <c r="K13" s="11">
        <v>36</v>
      </c>
      <c r="L13" s="11">
        <v>36</v>
      </c>
      <c r="M13" s="17">
        <v>1</v>
      </c>
      <c r="N13" s="17">
        <v>1</v>
      </c>
      <c r="O13" s="11">
        <v>3.72</v>
      </c>
      <c r="P13" s="11">
        <v>3.375</v>
      </c>
      <c r="Q13" s="11">
        <v>0.2</v>
      </c>
      <c r="R13" s="11">
        <v>607.5</v>
      </c>
      <c r="S13" s="11">
        <v>3.73</v>
      </c>
    </row>
    <row r="14" spans="1:19" x14ac:dyDescent="0.2">
      <c r="A14" s="15" t="s">
        <v>59</v>
      </c>
      <c r="B14" s="15" t="s">
        <v>26</v>
      </c>
      <c r="C14" s="15">
        <v>201710</v>
      </c>
      <c r="D14" s="15">
        <v>11082</v>
      </c>
      <c r="E14" s="15" t="s">
        <v>111</v>
      </c>
      <c r="F14" s="15" t="s">
        <v>138</v>
      </c>
      <c r="G14" s="15" t="s">
        <v>139</v>
      </c>
      <c r="H14" s="15" t="s">
        <v>150</v>
      </c>
      <c r="I14" s="15" t="s">
        <v>151</v>
      </c>
      <c r="J14" s="15">
        <v>33</v>
      </c>
      <c r="K14" s="15">
        <v>34</v>
      </c>
      <c r="L14" s="15">
        <v>34</v>
      </c>
      <c r="M14" s="16">
        <v>0.97058999999999995</v>
      </c>
      <c r="N14" s="16">
        <v>1</v>
      </c>
      <c r="O14" s="15">
        <v>3.41</v>
      </c>
      <c r="P14" s="15">
        <v>3.375</v>
      </c>
      <c r="Q14" s="15">
        <v>0.2</v>
      </c>
      <c r="R14" s="15">
        <v>573.75</v>
      </c>
      <c r="S14" s="15">
        <v>3.52</v>
      </c>
    </row>
    <row r="15" spans="1:19" x14ac:dyDescent="0.2">
      <c r="A15" s="11" t="s">
        <v>59</v>
      </c>
      <c r="B15" s="11" t="s">
        <v>26</v>
      </c>
      <c r="C15" s="11">
        <v>201710</v>
      </c>
      <c r="D15" s="11">
        <v>11083</v>
      </c>
      <c r="E15" s="11" t="s">
        <v>111</v>
      </c>
      <c r="F15" s="11" t="s">
        <v>138</v>
      </c>
      <c r="G15" s="11" t="s">
        <v>139</v>
      </c>
      <c r="H15" s="11" t="s">
        <v>150</v>
      </c>
      <c r="I15" s="11" t="s">
        <v>154</v>
      </c>
      <c r="J15" s="11">
        <v>16</v>
      </c>
      <c r="K15" s="11">
        <v>20</v>
      </c>
      <c r="L15" s="11">
        <v>30</v>
      </c>
      <c r="M15" s="17">
        <v>0.53332999999999997</v>
      </c>
      <c r="N15" s="17">
        <v>0.66666999999999998</v>
      </c>
      <c r="O15" s="11">
        <v>1.43</v>
      </c>
      <c r="P15" s="11">
        <v>3.375</v>
      </c>
      <c r="Q15" s="11">
        <v>0.2</v>
      </c>
      <c r="R15" s="11">
        <v>506.25</v>
      </c>
      <c r="S15" s="11">
        <v>3.11</v>
      </c>
    </row>
    <row r="16" spans="1:19" x14ac:dyDescent="0.2">
      <c r="A16" s="15" t="s">
        <v>59</v>
      </c>
      <c r="B16" s="15" t="s">
        <v>26</v>
      </c>
      <c r="C16" s="15">
        <v>201710</v>
      </c>
      <c r="D16" s="15">
        <v>11084</v>
      </c>
      <c r="E16" s="15" t="s">
        <v>111</v>
      </c>
      <c r="F16" s="15" t="s">
        <v>138</v>
      </c>
      <c r="G16" s="15" t="s">
        <v>139</v>
      </c>
      <c r="H16" s="15" t="s">
        <v>150</v>
      </c>
      <c r="I16" s="15" t="s">
        <v>151</v>
      </c>
      <c r="J16" s="15">
        <v>32</v>
      </c>
      <c r="K16" s="15">
        <v>33</v>
      </c>
      <c r="L16" s="15">
        <v>35</v>
      </c>
      <c r="M16" s="16">
        <v>0.91429000000000005</v>
      </c>
      <c r="N16" s="16">
        <v>0.94286000000000003</v>
      </c>
      <c r="O16" s="15">
        <v>3.23</v>
      </c>
      <c r="P16" s="15">
        <v>3.375</v>
      </c>
      <c r="Q16" s="15">
        <v>0.2</v>
      </c>
      <c r="R16" s="15">
        <v>590.63</v>
      </c>
      <c r="S16" s="15">
        <v>3.63</v>
      </c>
    </row>
    <row r="17" spans="1:19" x14ac:dyDescent="0.2">
      <c r="A17" s="11" t="s">
        <v>59</v>
      </c>
      <c r="B17" s="11" t="s">
        <v>26</v>
      </c>
      <c r="C17" s="11">
        <v>201710</v>
      </c>
      <c r="D17" s="11">
        <v>11085</v>
      </c>
      <c r="E17" s="11" t="s">
        <v>111</v>
      </c>
      <c r="F17" s="11" t="s">
        <v>138</v>
      </c>
      <c r="G17" s="11" t="s">
        <v>139</v>
      </c>
      <c r="H17" s="11" t="s">
        <v>150</v>
      </c>
      <c r="I17" s="11" t="s">
        <v>151</v>
      </c>
      <c r="J17" s="11">
        <v>32</v>
      </c>
      <c r="K17" s="11">
        <v>33</v>
      </c>
      <c r="L17" s="11">
        <v>35</v>
      </c>
      <c r="M17" s="17">
        <v>0.91429000000000005</v>
      </c>
      <c r="N17" s="17">
        <v>0.94286000000000003</v>
      </c>
      <c r="O17" s="11">
        <v>3.11</v>
      </c>
      <c r="P17" s="11">
        <v>3.375</v>
      </c>
      <c r="Q17" s="11">
        <v>0.2</v>
      </c>
      <c r="R17" s="11">
        <v>590.63</v>
      </c>
      <c r="S17" s="11">
        <v>3.63</v>
      </c>
    </row>
    <row r="18" spans="1:19" x14ac:dyDescent="0.2">
      <c r="A18" s="15" t="s">
        <v>59</v>
      </c>
      <c r="B18" s="15" t="s">
        <v>26</v>
      </c>
      <c r="C18" s="15">
        <v>201710</v>
      </c>
      <c r="D18" s="15">
        <v>11086</v>
      </c>
      <c r="E18" s="15" t="s">
        <v>111</v>
      </c>
      <c r="F18" s="15" t="s">
        <v>138</v>
      </c>
      <c r="G18" s="15" t="s">
        <v>139</v>
      </c>
      <c r="H18" s="15" t="s">
        <v>150</v>
      </c>
      <c r="I18" s="15" t="s">
        <v>154</v>
      </c>
      <c r="J18" s="15">
        <v>25</v>
      </c>
      <c r="K18" s="15">
        <v>26</v>
      </c>
      <c r="L18" s="15">
        <v>28</v>
      </c>
      <c r="M18" s="16">
        <v>0.89285999999999999</v>
      </c>
      <c r="N18" s="16">
        <v>0.92857000000000001</v>
      </c>
      <c r="O18" s="15">
        <v>2.46</v>
      </c>
      <c r="P18" s="15">
        <v>3.375</v>
      </c>
      <c r="Q18" s="15">
        <v>0.2</v>
      </c>
      <c r="R18" s="15">
        <v>472.5</v>
      </c>
      <c r="S18" s="15">
        <v>2.9</v>
      </c>
    </row>
    <row r="19" spans="1:19" x14ac:dyDescent="0.2">
      <c r="A19" s="11" t="s">
        <v>59</v>
      </c>
      <c r="B19" s="11" t="s">
        <v>26</v>
      </c>
      <c r="C19" s="11">
        <v>201710</v>
      </c>
      <c r="D19" s="11">
        <v>11087</v>
      </c>
      <c r="E19" s="11" t="s">
        <v>111</v>
      </c>
      <c r="F19" s="11" t="s">
        <v>138</v>
      </c>
      <c r="G19" s="11" t="s">
        <v>139</v>
      </c>
      <c r="H19" s="11" t="s">
        <v>150</v>
      </c>
      <c r="I19" s="11" t="s">
        <v>153</v>
      </c>
      <c r="J19" s="11">
        <v>23</v>
      </c>
      <c r="K19" s="11">
        <v>25</v>
      </c>
      <c r="L19" s="11">
        <v>26</v>
      </c>
      <c r="M19" s="17">
        <v>0.88461999999999996</v>
      </c>
      <c r="N19" s="17">
        <v>0.96153999999999995</v>
      </c>
      <c r="O19" s="11">
        <v>2.73</v>
      </c>
      <c r="P19" s="11">
        <v>3.375</v>
      </c>
      <c r="Q19" s="11">
        <v>0.2</v>
      </c>
      <c r="R19" s="11">
        <v>438.75</v>
      </c>
      <c r="S19" s="11">
        <v>2.69</v>
      </c>
    </row>
    <row r="20" spans="1:19" x14ac:dyDescent="0.2">
      <c r="A20" s="15" t="s">
        <v>59</v>
      </c>
      <c r="B20" s="15" t="s">
        <v>26</v>
      </c>
      <c r="C20" s="15">
        <v>201710</v>
      </c>
      <c r="D20" s="15">
        <v>11088</v>
      </c>
      <c r="E20" s="15" t="s">
        <v>111</v>
      </c>
      <c r="F20" s="15" t="s">
        <v>138</v>
      </c>
      <c r="G20" s="15" t="s">
        <v>139</v>
      </c>
      <c r="H20" s="15" t="s">
        <v>150</v>
      </c>
      <c r="I20" s="15" t="s">
        <v>155</v>
      </c>
      <c r="J20" s="15">
        <v>17</v>
      </c>
      <c r="K20" s="15">
        <v>17</v>
      </c>
      <c r="L20" s="15">
        <v>26</v>
      </c>
      <c r="M20" s="16">
        <v>0.65385000000000004</v>
      </c>
      <c r="N20" s="16">
        <v>0.65385000000000004</v>
      </c>
      <c r="O20" s="15">
        <v>1.81</v>
      </c>
      <c r="P20" s="15">
        <v>3.375</v>
      </c>
      <c r="Q20" s="15">
        <v>0.2</v>
      </c>
      <c r="R20" s="15">
        <v>438.75</v>
      </c>
      <c r="S20" s="15">
        <v>2.69</v>
      </c>
    </row>
    <row r="21" spans="1:19" x14ac:dyDescent="0.2">
      <c r="A21" s="11" t="s">
        <v>59</v>
      </c>
      <c r="B21" s="11" t="s">
        <v>26</v>
      </c>
      <c r="C21" s="11">
        <v>201710</v>
      </c>
      <c r="D21" s="11">
        <v>11089</v>
      </c>
      <c r="E21" s="11" t="s">
        <v>111</v>
      </c>
      <c r="F21" s="11" t="s">
        <v>138</v>
      </c>
      <c r="G21" s="11" t="s">
        <v>140</v>
      </c>
      <c r="H21" s="11" t="s">
        <v>150</v>
      </c>
      <c r="I21" s="11" t="s">
        <v>154</v>
      </c>
      <c r="J21" s="11">
        <v>11</v>
      </c>
      <c r="K21" s="11">
        <v>12</v>
      </c>
      <c r="L21" s="11">
        <v>16</v>
      </c>
      <c r="M21" s="17">
        <v>0.6875</v>
      </c>
      <c r="N21" s="17">
        <v>0.75</v>
      </c>
      <c r="O21" s="11">
        <v>1.88</v>
      </c>
      <c r="P21" s="11">
        <v>3.375</v>
      </c>
      <c r="Q21" s="11">
        <v>0.2</v>
      </c>
      <c r="R21" s="11">
        <v>270</v>
      </c>
      <c r="S21" s="11">
        <v>1.66</v>
      </c>
    </row>
    <row r="22" spans="1:19" x14ac:dyDescent="0.2">
      <c r="A22" s="15" t="s">
        <v>59</v>
      </c>
      <c r="B22" s="15" t="s">
        <v>26</v>
      </c>
      <c r="C22" s="15">
        <v>201710</v>
      </c>
      <c r="D22" s="15">
        <v>11090</v>
      </c>
      <c r="E22" s="15" t="s">
        <v>111</v>
      </c>
      <c r="F22" s="15" t="s">
        <v>138</v>
      </c>
      <c r="G22" s="15" t="s">
        <v>140</v>
      </c>
      <c r="H22" s="15" t="s">
        <v>150</v>
      </c>
      <c r="I22" s="15" t="s">
        <v>153</v>
      </c>
      <c r="J22" s="15">
        <v>15</v>
      </c>
      <c r="K22" s="15">
        <v>20</v>
      </c>
      <c r="L22" s="15">
        <v>22</v>
      </c>
      <c r="M22" s="16">
        <v>0.68181999999999998</v>
      </c>
      <c r="N22" s="16">
        <v>0.90908999999999995</v>
      </c>
      <c r="O22" s="15">
        <v>2.73</v>
      </c>
      <c r="P22" s="15">
        <v>3.375</v>
      </c>
      <c r="Q22" s="15">
        <v>0.2</v>
      </c>
      <c r="R22" s="15">
        <v>371.25</v>
      </c>
      <c r="S22" s="15">
        <v>2.2799999999999998</v>
      </c>
    </row>
    <row r="23" spans="1:19" x14ac:dyDescent="0.2">
      <c r="A23" s="11" t="s">
        <v>59</v>
      </c>
      <c r="B23" s="11" t="s">
        <v>26</v>
      </c>
      <c r="C23" s="11">
        <v>201710</v>
      </c>
      <c r="D23" s="11">
        <v>11091</v>
      </c>
      <c r="E23" s="11" t="s">
        <v>111</v>
      </c>
      <c r="F23" s="11" t="s">
        <v>138</v>
      </c>
      <c r="G23" s="11" t="s">
        <v>140</v>
      </c>
      <c r="H23" s="11" t="s">
        <v>150</v>
      </c>
      <c r="I23" s="11" t="s">
        <v>155</v>
      </c>
      <c r="J23" s="11">
        <v>15</v>
      </c>
      <c r="K23" s="11">
        <v>17</v>
      </c>
      <c r="L23" s="11">
        <v>23</v>
      </c>
      <c r="M23" s="17">
        <v>0.65217000000000003</v>
      </c>
      <c r="N23" s="17">
        <v>0.73912999999999995</v>
      </c>
      <c r="O23" s="11">
        <v>1.83</v>
      </c>
      <c r="P23" s="11">
        <v>3.375</v>
      </c>
      <c r="Q23" s="11">
        <v>0.2</v>
      </c>
      <c r="R23" s="11">
        <v>388.13</v>
      </c>
      <c r="S23" s="11">
        <v>2.38</v>
      </c>
    </row>
    <row r="24" spans="1:19" x14ac:dyDescent="0.2">
      <c r="A24" s="15" t="s">
        <v>59</v>
      </c>
      <c r="B24" s="15" t="s">
        <v>26</v>
      </c>
      <c r="C24" s="15">
        <v>201710</v>
      </c>
      <c r="D24" s="15">
        <v>11092</v>
      </c>
      <c r="E24" s="15" t="s">
        <v>111</v>
      </c>
      <c r="F24" s="15" t="s">
        <v>138</v>
      </c>
      <c r="G24" s="15" t="s">
        <v>140</v>
      </c>
      <c r="H24" s="15" t="s">
        <v>150</v>
      </c>
      <c r="I24" s="15" t="s">
        <v>152</v>
      </c>
      <c r="J24" s="15">
        <v>24</v>
      </c>
      <c r="K24" s="15">
        <v>25</v>
      </c>
      <c r="L24" s="15">
        <v>28</v>
      </c>
      <c r="M24" s="16">
        <v>0.85714000000000001</v>
      </c>
      <c r="N24" s="16">
        <v>0.89285999999999999</v>
      </c>
      <c r="O24" s="15">
        <v>3.25</v>
      </c>
      <c r="P24" s="15">
        <v>3.375</v>
      </c>
      <c r="Q24" s="15">
        <v>0.2</v>
      </c>
      <c r="R24" s="15">
        <v>472.5</v>
      </c>
      <c r="S24" s="15">
        <v>2.9</v>
      </c>
    </row>
    <row r="25" spans="1:19" x14ac:dyDescent="0.2">
      <c r="A25" s="11" t="s">
        <v>59</v>
      </c>
      <c r="B25" s="11" t="s">
        <v>26</v>
      </c>
      <c r="C25" s="11">
        <v>201710</v>
      </c>
      <c r="D25" s="11">
        <v>11093</v>
      </c>
      <c r="E25" s="11" t="s">
        <v>111</v>
      </c>
      <c r="F25" s="11" t="s">
        <v>138</v>
      </c>
      <c r="G25" s="11" t="s">
        <v>139</v>
      </c>
      <c r="H25" s="11" t="s">
        <v>150</v>
      </c>
      <c r="I25" s="11" t="s">
        <v>155</v>
      </c>
      <c r="J25" s="11">
        <v>12</v>
      </c>
      <c r="K25" s="11">
        <v>19</v>
      </c>
      <c r="L25" s="11">
        <v>25</v>
      </c>
      <c r="M25" s="17">
        <v>0.48</v>
      </c>
      <c r="N25" s="17">
        <v>0.76</v>
      </c>
      <c r="O25" s="11">
        <v>1.4</v>
      </c>
      <c r="P25" s="11">
        <v>3.375</v>
      </c>
      <c r="Q25" s="11">
        <v>0.2</v>
      </c>
      <c r="R25" s="11">
        <v>421.88</v>
      </c>
      <c r="S25" s="11">
        <v>2.59</v>
      </c>
    </row>
    <row r="26" spans="1:19" x14ac:dyDescent="0.2">
      <c r="A26" s="15" t="s">
        <v>59</v>
      </c>
      <c r="B26" s="15" t="s">
        <v>26</v>
      </c>
      <c r="C26" s="15">
        <v>201710</v>
      </c>
      <c r="D26" s="15">
        <v>11094</v>
      </c>
      <c r="E26" s="15" t="s">
        <v>111</v>
      </c>
      <c r="F26" s="15" t="s">
        <v>138</v>
      </c>
      <c r="G26" s="15" t="s">
        <v>139</v>
      </c>
      <c r="H26" s="15" t="s">
        <v>150</v>
      </c>
      <c r="I26" s="15" t="s">
        <v>156</v>
      </c>
      <c r="J26" s="15">
        <v>28</v>
      </c>
      <c r="K26" s="15">
        <v>29</v>
      </c>
      <c r="L26" s="15">
        <v>33</v>
      </c>
      <c r="M26" s="16">
        <v>0.84848000000000001</v>
      </c>
      <c r="N26" s="16">
        <v>0.87878999999999996</v>
      </c>
      <c r="O26" s="15">
        <v>2.91</v>
      </c>
      <c r="P26" s="15">
        <v>3.375</v>
      </c>
      <c r="Q26" s="15">
        <v>0.2</v>
      </c>
      <c r="R26" s="15">
        <v>556.88</v>
      </c>
      <c r="S26" s="15">
        <v>3.42</v>
      </c>
    </row>
    <row r="27" spans="1:19" x14ac:dyDescent="0.2">
      <c r="A27" s="11" t="s">
        <v>59</v>
      </c>
      <c r="B27" s="11" t="s">
        <v>26</v>
      </c>
      <c r="C27" s="11">
        <v>201710</v>
      </c>
      <c r="D27" s="11">
        <v>11095</v>
      </c>
      <c r="E27" s="11" t="s">
        <v>111</v>
      </c>
      <c r="F27" s="11" t="s">
        <v>138</v>
      </c>
      <c r="G27" s="11" t="s">
        <v>139</v>
      </c>
      <c r="H27" s="11" t="s">
        <v>150</v>
      </c>
      <c r="I27" s="11" t="s">
        <v>155</v>
      </c>
      <c r="J27" s="11">
        <v>22</v>
      </c>
      <c r="K27" s="11">
        <v>24</v>
      </c>
      <c r="L27" s="11">
        <v>30</v>
      </c>
      <c r="M27" s="17">
        <v>0.73333000000000004</v>
      </c>
      <c r="N27" s="17">
        <v>0.8</v>
      </c>
      <c r="O27" s="11">
        <v>2.1</v>
      </c>
      <c r="P27" s="11">
        <v>3.375</v>
      </c>
      <c r="Q27" s="11">
        <v>0.2</v>
      </c>
      <c r="R27" s="11">
        <v>506.25</v>
      </c>
      <c r="S27" s="11">
        <v>3.11</v>
      </c>
    </row>
    <row r="28" spans="1:19" x14ac:dyDescent="0.2">
      <c r="A28" s="15" t="s">
        <v>59</v>
      </c>
      <c r="B28" s="15" t="s">
        <v>26</v>
      </c>
      <c r="C28" s="15">
        <v>201710</v>
      </c>
      <c r="D28" s="15">
        <v>11096</v>
      </c>
      <c r="E28" s="15" t="s">
        <v>111</v>
      </c>
      <c r="F28" s="15" t="s">
        <v>138</v>
      </c>
      <c r="G28" s="15" t="s">
        <v>139</v>
      </c>
      <c r="H28" s="15" t="s">
        <v>150</v>
      </c>
      <c r="I28" s="15" t="s">
        <v>155</v>
      </c>
      <c r="J28" s="15">
        <v>22</v>
      </c>
      <c r="K28" s="15">
        <v>25</v>
      </c>
      <c r="L28" s="15">
        <v>29</v>
      </c>
      <c r="M28" s="16">
        <v>0.75861999999999996</v>
      </c>
      <c r="N28" s="16">
        <v>0.86207</v>
      </c>
      <c r="O28" s="15">
        <v>2.0299999999999998</v>
      </c>
      <c r="P28" s="15">
        <v>3.375</v>
      </c>
      <c r="Q28" s="15">
        <v>0.2</v>
      </c>
      <c r="R28" s="15">
        <v>489.38</v>
      </c>
      <c r="S28" s="15">
        <v>3</v>
      </c>
    </row>
    <row r="29" spans="1:19" x14ac:dyDescent="0.2">
      <c r="A29" s="11" t="s">
        <v>59</v>
      </c>
      <c r="B29" s="11" t="s">
        <v>26</v>
      </c>
      <c r="C29" s="11">
        <v>201710</v>
      </c>
      <c r="D29" s="11">
        <v>11097</v>
      </c>
      <c r="E29" s="11" t="s">
        <v>111</v>
      </c>
      <c r="F29" s="11" t="s">
        <v>138</v>
      </c>
      <c r="G29" s="11" t="s">
        <v>139</v>
      </c>
      <c r="H29" s="11" t="s">
        <v>157</v>
      </c>
      <c r="I29" s="11" t="s">
        <v>156</v>
      </c>
      <c r="J29" s="11">
        <v>24</v>
      </c>
      <c r="K29" s="11">
        <v>24</v>
      </c>
      <c r="L29" s="11">
        <v>25</v>
      </c>
      <c r="M29" s="17">
        <v>0.96</v>
      </c>
      <c r="N29" s="17">
        <v>0.96</v>
      </c>
      <c r="O29" s="11">
        <v>3.4</v>
      </c>
      <c r="P29" s="11">
        <v>3.375</v>
      </c>
      <c r="Q29" s="11">
        <v>0.2</v>
      </c>
      <c r="R29" s="11">
        <v>421.88</v>
      </c>
      <c r="S29" s="11">
        <v>2.59</v>
      </c>
    </row>
    <row r="30" spans="1:19" x14ac:dyDescent="0.2">
      <c r="A30" s="15" t="s">
        <v>59</v>
      </c>
      <c r="B30" s="15" t="s">
        <v>26</v>
      </c>
      <c r="C30" s="15">
        <v>201710</v>
      </c>
      <c r="D30" s="15">
        <v>11136</v>
      </c>
      <c r="E30" s="15" t="s">
        <v>111</v>
      </c>
      <c r="F30" s="15" t="s">
        <v>138</v>
      </c>
      <c r="G30" s="15" t="s">
        <v>140</v>
      </c>
      <c r="H30" s="15" t="s">
        <v>150</v>
      </c>
      <c r="I30" s="15" t="s">
        <v>155</v>
      </c>
      <c r="J30" s="15">
        <v>13</v>
      </c>
      <c r="K30" s="15">
        <v>13</v>
      </c>
      <c r="L30" s="15">
        <v>15</v>
      </c>
      <c r="M30" s="16">
        <v>0.86667000000000005</v>
      </c>
      <c r="N30" s="16">
        <v>0.86667000000000005</v>
      </c>
      <c r="O30" s="15">
        <v>2.5299999999999998</v>
      </c>
      <c r="P30" s="15">
        <v>3.375</v>
      </c>
      <c r="Q30" s="15">
        <v>0.2</v>
      </c>
      <c r="R30" s="15">
        <v>253.13</v>
      </c>
      <c r="S30" s="15">
        <v>1.55</v>
      </c>
    </row>
    <row r="31" spans="1:19" x14ac:dyDescent="0.2">
      <c r="A31" s="11" t="s">
        <v>59</v>
      </c>
      <c r="B31" s="11" t="s">
        <v>27</v>
      </c>
      <c r="C31" s="11">
        <v>201715</v>
      </c>
      <c r="D31" s="11">
        <v>15164</v>
      </c>
      <c r="E31" s="11" t="s">
        <v>111</v>
      </c>
      <c r="F31" s="11" t="s">
        <v>138</v>
      </c>
      <c r="G31" s="11" t="s">
        <v>139</v>
      </c>
      <c r="H31" s="11" t="s">
        <v>150</v>
      </c>
      <c r="I31" s="11" t="s">
        <v>151</v>
      </c>
      <c r="J31" s="11">
        <v>34</v>
      </c>
      <c r="K31" s="11">
        <v>34</v>
      </c>
      <c r="L31" s="11">
        <v>34</v>
      </c>
      <c r="M31" s="17">
        <v>1</v>
      </c>
      <c r="N31" s="17">
        <v>1</v>
      </c>
      <c r="O31" s="11">
        <v>3.79</v>
      </c>
      <c r="P31" s="11">
        <v>3.375</v>
      </c>
      <c r="Q31" s="11">
        <v>0.2</v>
      </c>
      <c r="R31" s="11">
        <v>573.75</v>
      </c>
      <c r="S31" s="11">
        <v>3.57</v>
      </c>
    </row>
    <row r="32" spans="1:19" x14ac:dyDescent="0.2">
      <c r="A32" s="15" t="s">
        <v>59</v>
      </c>
      <c r="B32" s="15" t="s">
        <v>27</v>
      </c>
      <c r="C32" s="15">
        <v>201715</v>
      </c>
      <c r="D32" s="15">
        <v>15165</v>
      </c>
      <c r="E32" s="15" t="s">
        <v>111</v>
      </c>
      <c r="F32" s="15" t="s">
        <v>138</v>
      </c>
      <c r="G32" s="15" t="s">
        <v>139</v>
      </c>
      <c r="H32" s="15" t="s">
        <v>150</v>
      </c>
      <c r="I32" s="15" t="s">
        <v>151</v>
      </c>
      <c r="J32" s="15">
        <v>34</v>
      </c>
      <c r="K32" s="15">
        <v>34</v>
      </c>
      <c r="L32" s="15">
        <v>34</v>
      </c>
      <c r="M32" s="16">
        <v>1</v>
      </c>
      <c r="N32" s="16">
        <v>1</v>
      </c>
      <c r="O32" s="15">
        <v>3.74</v>
      </c>
      <c r="P32" s="15">
        <v>3.375</v>
      </c>
      <c r="Q32" s="15">
        <v>0.2</v>
      </c>
      <c r="R32" s="15">
        <v>573.75</v>
      </c>
      <c r="S32" s="15">
        <v>3.57</v>
      </c>
    </row>
    <row r="33" spans="1:19" x14ac:dyDescent="0.2">
      <c r="A33" s="11" t="s">
        <v>59</v>
      </c>
      <c r="B33" s="11" t="s">
        <v>27</v>
      </c>
      <c r="C33" s="11">
        <v>201715</v>
      </c>
      <c r="D33" s="11">
        <v>15166</v>
      </c>
      <c r="E33" s="11" t="s">
        <v>111</v>
      </c>
      <c r="F33" s="11" t="s">
        <v>138</v>
      </c>
      <c r="G33" s="11" t="s">
        <v>139</v>
      </c>
      <c r="H33" s="11" t="s">
        <v>150</v>
      </c>
      <c r="I33" s="11" t="s">
        <v>154</v>
      </c>
      <c r="J33" s="11">
        <v>26</v>
      </c>
      <c r="K33" s="11">
        <v>26</v>
      </c>
      <c r="L33" s="11">
        <v>30</v>
      </c>
      <c r="M33" s="17">
        <v>0.86667000000000005</v>
      </c>
      <c r="N33" s="17">
        <v>0.86667000000000005</v>
      </c>
      <c r="O33" s="11">
        <v>2.23</v>
      </c>
      <c r="P33" s="11">
        <v>3.375</v>
      </c>
      <c r="Q33" s="11">
        <v>0.2</v>
      </c>
      <c r="R33" s="11">
        <v>506.25</v>
      </c>
      <c r="S33" s="11">
        <v>3.15</v>
      </c>
    </row>
    <row r="34" spans="1:19" x14ac:dyDescent="0.2">
      <c r="A34" s="15" t="s">
        <v>59</v>
      </c>
      <c r="B34" s="15" t="s">
        <v>28</v>
      </c>
      <c r="C34" s="15">
        <v>201720</v>
      </c>
      <c r="D34" s="15">
        <v>21066</v>
      </c>
      <c r="E34" s="15" t="s">
        <v>111</v>
      </c>
      <c r="F34" s="15" t="s">
        <v>138</v>
      </c>
      <c r="G34" s="15" t="s">
        <v>139</v>
      </c>
      <c r="H34" s="15" t="s">
        <v>150</v>
      </c>
      <c r="I34" s="15" t="s">
        <v>151</v>
      </c>
      <c r="J34" s="15">
        <v>30</v>
      </c>
      <c r="K34" s="15">
        <v>31</v>
      </c>
      <c r="L34" s="15">
        <v>35</v>
      </c>
      <c r="M34" s="16">
        <v>0.85714000000000001</v>
      </c>
      <c r="N34" s="16">
        <v>0.88571</v>
      </c>
      <c r="O34" s="15">
        <v>3.11</v>
      </c>
      <c r="P34" s="15">
        <v>3.375</v>
      </c>
      <c r="Q34" s="15">
        <v>0.2</v>
      </c>
      <c r="R34" s="15">
        <v>590.63</v>
      </c>
      <c r="S34" s="15">
        <v>3.63</v>
      </c>
    </row>
    <row r="35" spans="1:19" x14ac:dyDescent="0.2">
      <c r="A35" s="11" t="s">
        <v>59</v>
      </c>
      <c r="B35" s="11" t="s">
        <v>28</v>
      </c>
      <c r="C35" s="11">
        <v>201720</v>
      </c>
      <c r="D35" s="11">
        <v>21067</v>
      </c>
      <c r="E35" s="11" t="s">
        <v>111</v>
      </c>
      <c r="F35" s="11" t="s">
        <v>138</v>
      </c>
      <c r="G35" s="11" t="s">
        <v>139</v>
      </c>
      <c r="H35" s="11" t="s">
        <v>150</v>
      </c>
      <c r="I35" s="11" t="s">
        <v>151</v>
      </c>
      <c r="J35" s="11">
        <v>34</v>
      </c>
      <c r="K35" s="11">
        <v>34</v>
      </c>
      <c r="L35" s="11">
        <v>34</v>
      </c>
      <c r="M35" s="17">
        <v>1</v>
      </c>
      <c r="N35" s="17">
        <v>1</v>
      </c>
      <c r="O35" s="11">
        <v>3.59</v>
      </c>
      <c r="P35" s="11">
        <v>3.375</v>
      </c>
      <c r="Q35" s="11">
        <v>0.2</v>
      </c>
      <c r="R35" s="11">
        <v>573.75</v>
      </c>
      <c r="S35" s="11">
        <v>3.52</v>
      </c>
    </row>
    <row r="36" spans="1:19" x14ac:dyDescent="0.2">
      <c r="A36" s="15" t="s">
        <v>59</v>
      </c>
      <c r="B36" s="15" t="s">
        <v>28</v>
      </c>
      <c r="C36" s="15">
        <v>201720</v>
      </c>
      <c r="D36" s="15">
        <v>21068</v>
      </c>
      <c r="E36" s="15" t="s">
        <v>111</v>
      </c>
      <c r="F36" s="15" t="s">
        <v>138</v>
      </c>
      <c r="G36" s="15" t="s">
        <v>139</v>
      </c>
      <c r="H36" s="15" t="s">
        <v>150</v>
      </c>
      <c r="I36" s="15" t="s">
        <v>152</v>
      </c>
      <c r="J36" s="15">
        <v>28</v>
      </c>
      <c r="K36" s="15">
        <v>30</v>
      </c>
      <c r="L36" s="15">
        <v>30</v>
      </c>
      <c r="M36" s="16">
        <v>0.93332999999999999</v>
      </c>
      <c r="N36" s="16">
        <v>1</v>
      </c>
      <c r="O36" s="15">
        <v>3.4</v>
      </c>
      <c r="P36" s="15">
        <v>3.375</v>
      </c>
      <c r="Q36" s="15">
        <v>0.2</v>
      </c>
      <c r="R36" s="15">
        <v>506.25</v>
      </c>
      <c r="S36" s="15">
        <v>3.11</v>
      </c>
    </row>
    <row r="37" spans="1:19" x14ac:dyDescent="0.2">
      <c r="A37" s="11" t="s">
        <v>59</v>
      </c>
      <c r="B37" s="11" t="s">
        <v>28</v>
      </c>
      <c r="C37" s="11">
        <v>201720</v>
      </c>
      <c r="D37" s="11">
        <v>21069</v>
      </c>
      <c r="E37" s="11" t="s">
        <v>111</v>
      </c>
      <c r="F37" s="11" t="s">
        <v>138</v>
      </c>
      <c r="G37" s="11" t="s">
        <v>139</v>
      </c>
      <c r="H37" s="11" t="s">
        <v>150</v>
      </c>
      <c r="I37" s="11" t="s">
        <v>151</v>
      </c>
      <c r="J37" s="11">
        <v>35</v>
      </c>
      <c r="K37" s="11">
        <v>35</v>
      </c>
      <c r="L37" s="11">
        <v>35</v>
      </c>
      <c r="M37" s="17">
        <v>1</v>
      </c>
      <c r="N37" s="17">
        <v>1</v>
      </c>
      <c r="O37" s="11">
        <v>3.63</v>
      </c>
      <c r="P37" s="11">
        <v>3.375</v>
      </c>
      <c r="Q37" s="11">
        <v>0.2</v>
      </c>
      <c r="R37" s="11">
        <v>590.63</v>
      </c>
      <c r="S37" s="11">
        <v>3.63</v>
      </c>
    </row>
    <row r="38" spans="1:19" x14ac:dyDescent="0.2">
      <c r="A38" s="15" t="s">
        <v>59</v>
      </c>
      <c r="B38" s="15" t="s">
        <v>28</v>
      </c>
      <c r="C38" s="15">
        <v>201720</v>
      </c>
      <c r="D38" s="15">
        <v>21070</v>
      </c>
      <c r="E38" s="15" t="s">
        <v>111</v>
      </c>
      <c r="F38" s="15" t="s">
        <v>138</v>
      </c>
      <c r="G38" s="15" t="s">
        <v>139</v>
      </c>
      <c r="H38" s="15" t="s">
        <v>150</v>
      </c>
      <c r="I38" s="15" t="s">
        <v>151</v>
      </c>
      <c r="J38" s="15">
        <v>27</v>
      </c>
      <c r="K38" s="15">
        <v>30</v>
      </c>
      <c r="L38" s="15">
        <v>30</v>
      </c>
      <c r="M38" s="16">
        <v>0.9</v>
      </c>
      <c r="N38" s="16">
        <v>1</v>
      </c>
      <c r="O38" s="15">
        <v>3.23</v>
      </c>
      <c r="P38" s="15">
        <v>3.375</v>
      </c>
      <c r="Q38" s="15">
        <v>0.2</v>
      </c>
      <c r="R38" s="15">
        <v>506.25</v>
      </c>
      <c r="S38" s="15">
        <v>3.11</v>
      </c>
    </row>
    <row r="39" spans="1:19" x14ac:dyDescent="0.2">
      <c r="A39" s="11" t="s">
        <v>59</v>
      </c>
      <c r="B39" s="11" t="s">
        <v>28</v>
      </c>
      <c r="C39" s="11">
        <v>201720</v>
      </c>
      <c r="D39" s="11">
        <v>21071</v>
      </c>
      <c r="E39" s="11" t="s">
        <v>111</v>
      </c>
      <c r="F39" s="11" t="s">
        <v>138</v>
      </c>
      <c r="G39" s="11" t="s">
        <v>139</v>
      </c>
      <c r="H39" s="11" t="s">
        <v>150</v>
      </c>
      <c r="I39" s="11" t="s">
        <v>151</v>
      </c>
      <c r="J39" s="11">
        <v>33</v>
      </c>
      <c r="K39" s="11">
        <v>35</v>
      </c>
      <c r="L39" s="11">
        <v>35</v>
      </c>
      <c r="M39" s="17">
        <v>0.94286000000000003</v>
      </c>
      <c r="N39" s="17">
        <v>1</v>
      </c>
      <c r="O39" s="11">
        <v>3.37</v>
      </c>
      <c r="P39" s="11">
        <v>3.375</v>
      </c>
      <c r="Q39" s="11">
        <v>0.2</v>
      </c>
      <c r="R39" s="11">
        <v>590.63</v>
      </c>
      <c r="S39" s="11">
        <v>3.63</v>
      </c>
    </row>
    <row r="40" spans="1:19" x14ac:dyDescent="0.2">
      <c r="A40" s="15" t="s">
        <v>59</v>
      </c>
      <c r="B40" s="15" t="s">
        <v>28</v>
      </c>
      <c r="C40" s="15">
        <v>201720</v>
      </c>
      <c r="D40" s="15">
        <v>21072</v>
      </c>
      <c r="E40" s="15" t="s">
        <v>111</v>
      </c>
      <c r="F40" s="15" t="s">
        <v>138</v>
      </c>
      <c r="G40" s="15" t="s">
        <v>139</v>
      </c>
      <c r="H40" s="15" t="s">
        <v>150</v>
      </c>
      <c r="I40" s="15" t="s">
        <v>156</v>
      </c>
      <c r="J40" s="15">
        <v>11</v>
      </c>
      <c r="K40" s="15">
        <v>11</v>
      </c>
      <c r="L40" s="15">
        <v>16</v>
      </c>
      <c r="M40" s="16">
        <v>0.6875</v>
      </c>
      <c r="N40" s="16">
        <v>0.6875</v>
      </c>
      <c r="O40" s="15">
        <v>2.5</v>
      </c>
      <c r="P40" s="15">
        <v>3.375</v>
      </c>
      <c r="Q40" s="15">
        <v>0.2</v>
      </c>
      <c r="R40" s="15">
        <v>270</v>
      </c>
      <c r="S40" s="15">
        <v>1.66</v>
      </c>
    </row>
    <row r="41" spans="1:19" x14ac:dyDescent="0.2">
      <c r="A41" s="11" t="s">
        <v>59</v>
      </c>
      <c r="B41" s="11" t="s">
        <v>28</v>
      </c>
      <c r="C41" s="11">
        <v>201720</v>
      </c>
      <c r="D41" s="11">
        <v>21073</v>
      </c>
      <c r="E41" s="11" t="s">
        <v>111</v>
      </c>
      <c r="F41" s="11" t="s">
        <v>138</v>
      </c>
      <c r="G41" s="11" t="s">
        <v>139</v>
      </c>
      <c r="H41" s="11" t="s">
        <v>150</v>
      </c>
      <c r="I41" s="11" t="s">
        <v>151</v>
      </c>
      <c r="J41" s="11">
        <v>34</v>
      </c>
      <c r="K41" s="11">
        <v>36</v>
      </c>
      <c r="L41" s="11">
        <v>36</v>
      </c>
      <c r="M41" s="17">
        <v>0.94443999999999995</v>
      </c>
      <c r="N41" s="17">
        <v>1</v>
      </c>
      <c r="O41" s="11">
        <v>3.42</v>
      </c>
      <c r="P41" s="11">
        <v>3.375</v>
      </c>
      <c r="Q41" s="11">
        <v>0.2</v>
      </c>
      <c r="R41" s="11">
        <v>607.5</v>
      </c>
      <c r="S41" s="11">
        <v>3.73</v>
      </c>
    </row>
    <row r="42" spans="1:19" x14ac:dyDescent="0.2">
      <c r="A42" s="15" t="s">
        <v>59</v>
      </c>
      <c r="B42" s="15" t="s">
        <v>28</v>
      </c>
      <c r="C42" s="15">
        <v>201720</v>
      </c>
      <c r="D42" s="15">
        <v>21074</v>
      </c>
      <c r="E42" s="15" t="s">
        <v>111</v>
      </c>
      <c r="F42" s="15" t="s">
        <v>138</v>
      </c>
      <c r="G42" s="15" t="s">
        <v>139</v>
      </c>
      <c r="H42" s="15" t="s">
        <v>150</v>
      </c>
      <c r="I42" s="15" t="s">
        <v>155</v>
      </c>
      <c r="J42" s="15">
        <v>16</v>
      </c>
      <c r="K42" s="15">
        <v>20</v>
      </c>
      <c r="L42" s="15">
        <v>28</v>
      </c>
      <c r="M42" s="16">
        <v>0.57142999999999999</v>
      </c>
      <c r="N42" s="16">
        <v>0.71428999999999998</v>
      </c>
      <c r="O42" s="15">
        <v>2</v>
      </c>
      <c r="P42" s="15">
        <v>3.375</v>
      </c>
      <c r="Q42" s="15">
        <v>0.2</v>
      </c>
      <c r="R42" s="15">
        <v>472.5</v>
      </c>
      <c r="S42" s="15">
        <v>2.9</v>
      </c>
    </row>
    <row r="43" spans="1:19" x14ac:dyDescent="0.2">
      <c r="A43" s="11" t="s">
        <v>59</v>
      </c>
      <c r="B43" s="11" t="s">
        <v>28</v>
      </c>
      <c r="C43" s="11">
        <v>201720</v>
      </c>
      <c r="D43" s="11">
        <v>21075</v>
      </c>
      <c r="E43" s="11" t="s">
        <v>111</v>
      </c>
      <c r="F43" s="11" t="s">
        <v>138</v>
      </c>
      <c r="G43" s="11" t="s">
        <v>139</v>
      </c>
      <c r="H43" s="11" t="s">
        <v>150</v>
      </c>
      <c r="I43" s="11" t="s">
        <v>156</v>
      </c>
      <c r="J43" s="11">
        <v>25</v>
      </c>
      <c r="K43" s="11">
        <v>25</v>
      </c>
      <c r="L43" s="11">
        <v>28</v>
      </c>
      <c r="M43" s="17">
        <v>0.89285999999999999</v>
      </c>
      <c r="N43" s="17">
        <v>0.89285999999999999</v>
      </c>
      <c r="O43" s="11">
        <v>3.29</v>
      </c>
      <c r="P43" s="11">
        <v>3.375</v>
      </c>
      <c r="Q43" s="11">
        <v>0.2</v>
      </c>
      <c r="R43" s="11">
        <v>472.5</v>
      </c>
      <c r="S43" s="11">
        <v>2.9</v>
      </c>
    </row>
    <row r="44" spans="1:19" x14ac:dyDescent="0.2">
      <c r="A44" s="15" t="s">
        <v>59</v>
      </c>
      <c r="B44" s="15" t="s">
        <v>28</v>
      </c>
      <c r="C44" s="15">
        <v>201720</v>
      </c>
      <c r="D44" s="15">
        <v>21076</v>
      </c>
      <c r="E44" s="15" t="s">
        <v>111</v>
      </c>
      <c r="F44" s="15" t="s">
        <v>138</v>
      </c>
      <c r="G44" s="15" t="s">
        <v>139</v>
      </c>
      <c r="H44" s="15" t="s">
        <v>150</v>
      </c>
      <c r="I44" s="15" t="s">
        <v>155</v>
      </c>
      <c r="J44" s="15">
        <v>17</v>
      </c>
      <c r="K44" s="15">
        <v>22</v>
      </c>
      <c r="L44" s="15">
        <v>29</v>
      </c>
      <c r="M44" s="16">
        <v>0.58621000000000001</v>
      </c>
      <c r="N44" s="16">
        <v>0.75861999999999996</v>
      </c>
      <c r="O44" s="15">
        <v>1.93</v>
      </c>
      <c r="P44" s="15">
        <v>3.375</v>
      </c>
      <c r="Q44" s="15">
        <v>0.2</v>
      </c>
      <c r="R44" s="15">
        <v>489.38</v>
      </c>
      <c r="S44" s="15">
        <v>3</v>
      </c>
    </row>
    <row r="45" spans="1:19" x14ac:dyDescent="0.2">
      <c r="A45" s="11" t="s">
        <v>59</v>
      </c>
      <c r="B45" s="11" t="s">
        <v>28</v>
      </c>
      <c r="C45" s="11">
        <v>201720</v>
      </c>
      <c r="D45" s="11">
        <v>21077</v>
      </c>
      <c r="E45" s="11" t="s">
        <v>111</v>
      </c>
      <c r="F45" s="11" t="s">
        <v>138</v>
      </c>
      <c r="G45" s="11" t="s">
        <v>139</v>
      </c>
      <c r="H45" s="11" t="s">
        <v>150</v>
      </c>
      <c r="I45" s="11" t="s">
        <v>155</v>
      </c>
      <c r="J45" s="11">
        <v>22</v>
      </c>
      <c r="K45" s="11">
        <v>24</v>
      </c>
      <c r="L45" s="11">
        <v>27</v>
      </c>
      <c r="M45" s="17">
        <v>0.81481000000000003</v>
      </c>
      <c r="N45" s="17">
        <v>0.88888999999999996</v>
      </c>
      <c r="O45" s="11">
        <v>2.78</v>
      </c>
      <c r="P45" s="11">
        <v>3.375</v>
      </c>
      <c r="Q45" s="11">
        <v>0.2</v>
      </c>
      <c r="R45" s="11">
        <v>455.63</v>
      </c>
      <c r="S45" s="11">
        <v>2.8</v>
      </c>
    </row>
    <row r="46" spans="1:19" x14ac:dyDescent="0.2">
      <c r="A46" s="15" t="s">
        <v>59</v>
      </c>
      <c r="B46" s="15" t="s">
        <v>28</v>
      </c>
      <c r="C46" s="15">
        <v>201720</v>
      </c>
      <c r="D46" s="15">
        <v>21079</v>
      </c>
      <c r="E46" s="15" t="s">
        <v>111</v>
      </c>
      <c r="F46" s="15" t="s">
        <v>138</v>
      </c>
      <c r="G46" s="15" t="s">
        <v>139</v>
      </c>
      <c r="H46" s="15" t="s">
        <v>150</v>
      </c>
      <c r="I46" s="15" t="s">
        <v>156</v>
      </c>
      <c r="J46" s="15">
        <v>20</v>
      </c>
      <c r="K46" s="15">
        <v>20</v>
      </c>
      <c r="L46" s="15">
        <v>23</v>
      </c>
      <c r="M46" s="16">
        <v>0.86956999999999995</v>
      </c>
      <c r="N46" s="16">
        <v>0.86956999999999995</v>
      </c>
      <c r="O46" s="15">
        <v>3</v>
      </c>
      <c r="P46" s="15">
        <v>3.375</v>
      </c>
      <c r="Q46" s="15">
        <v>0.2</v>
      </c>
      <c r="R46" s="15">
        <v>388.13</v>
      </c>
      <c r="S46" s="15">
        <v>2.38</v>
      </c>
    </row>
    <row r="47" spans="1:19" x14ac:dyDescent="0.2">
      <c r="A47" s="11" t="s">
        <v>59</v>
      </c>
      <c r="B47" s="11" t="s">
        <v>28</v>
      </c>
      <c r="C47" s="11">
        <v>201720</v>
      </c>
      <c r="D47" s="11">
        <v>21080</v>
      </c>
      <c r="E47" s="11" t="s">
        <v>111</v>
      </c>
      <c r="F47" s="11" t="s">
        <v>138</v>
      </c>
      <c r="G47" s="11" t="s">
        <v>139</v>
      </c>
      <c r="H47" s="11" t="s">
        <v>150</v>
      </c>
      <c r="I47" s="11" t="s">
        <v>151</v>
      </c>
      <c r="J47" s="11">
        <v>26</v>
      </c>
      <c r="K47" s="11">
        <v>28</v>
      </c>
      <c r="L47" s="11">
        <v>32</v>
      </c>
      <c r="M47" s="17">
        <v>0.8125</v>
      </c>
      <c r="N47" s="17">
        <v>0.875</v>
      </c>
      <c r="O47" s="11">
        <v>2.91</v>
      </c>
      <c r="P47" s="11">
        <v>3.375</v>
      </c>
      <c r="Q47" s="11">
        <v>0.2</v>
      </c>
      <c r="R47" s="11">
        <v>540</v>
      </c>
      <c r="S47" s="11">
        <v>3.32</v>
      </c>
    </row>
    <row r="48" spans="1:19" x14ac:dyDescent="0.2">
      <c r="A48" s="15" t="s">
        <v>59</v>
      </c>
      <c r="B48" s="15" t="s">
        <v>28</v>
      </c>
      <c r="C48" s="15">
        <v>201720</v>
      </c>
      <c r="D48" s="15">
        <v>21081</v>
      </c>
      <c r="E48" s="15" t="s">
        <v>111</v>
      </c>
      <c r="F48" s="15" t="s">
        <v>138</v>
      </c>
      <c r="G48" s="15" t="s">
        <v>139</v>
      </c>
      <c r="H48" s="15" t="s">
        <v>150</v>
      </c>
      <c r="I48" s="15" t="s">
        <v>154</v>
      </c>
      <c r="J48" s="15">
        <v>6</v>
      </c>
      <c r="K48" s="15">
        <v>12</v>
      </c>
      <c r="L48" s="15">
        <v>22</v>
      </c>
      <c r="M48" s="16">
        <v>0.27272999999999997</v>
      </c>
      <c r="N48" s="16">
        <v>0.54544999999999999</v>
      </c>
      <c r="O48" s="15">
        <v>0.91</v>
      </c>
      <c r="P48" s="15">
        <v>3.375</v>
      </c>
      <c r="Q48" s="15">
        <v>0.2</v>
      </c>
      <c r="R48" s="15">
        <v>371.25</v>
      </c>
      <c r="S48" s="15">
        <v>2.1800000000000002</v>
      </c>
    </row>
    <row r="49" spans="1:19" x14ac:dyDescent="0.2">
      <c r="A49" s="11" t="s">
        <v>59</v>
      </c>
      <c r="B49" s="11" t="s">
        <v>28</v>
      </c>
      <c r="C49" s="11">
        <v>201720</v>
      </c>
      <c r="D49" s="11">
        <v>21082</v>
      </c>
      <c r="E49" s="11" t="s">
        <v>111</v>
      </c>
      <c r="F49" s="11" t="s">
        <v>138</v>
      </c>
      <c r="G49" s="11" t="s">
        <v>140</v>
      </c>
      <c r="H49" s="11" t="s">
        <v>150</v>
      </c>
      <c r="I49" s="11" t="s">
        <v>155</v>
      </c>
      <c r="J49" s="11">
        <v>21</v>
      </c>
      <c r="K49" s="11">
        <v>26</v>
      </c>
      <c r="L49" s="11">
        <v>27</v>
      </c>
      <c r="M49" s="17">
        <v>0.77778000000000003</v>
      </c>
      <c r="N49" s="17">
        <v>0.96296000000000004</v>
      </c>
      <c r="O49" s="11">
        <v>2.48</v>
      </c>
      <c r="P49" s="11">
        <v>3.375</v>
      </c>
      <c r="Q49" s="11">
        <v>0.2</v>
      </c>
      <c r="R49" s="11">
        <v>455.63</v>
      </c>
      <c r="S49" s="11">
        <v>2.8</v>
      </c>
    </row>
    <row r="50" spans="1:19" x14ac:dyDescent="0.2">
      <c r="A50" s="15" t="s">
        <v>59</v>
      </c>
      <c r="B50" s="15" t="s">
        <v>28</v>
      </c>
      <c r="C50" s="15">
        <v>201720</v>
      </c>
      <c r="D50" s="15">
        <v>21083</v>
      </c>
      <c r="E50" s="15" t="s">
        <v>111</v>
      </c>
      <c r="F50" s="15" t="s">
        <v>138</v>
      </c>
      <c r="G50" s="15" t="s">
        <v>140</v>
      </c>
      <c r="H50" s="15" t="s">
        <v>150</v>
      </c>
      <c r="I50" s="15" t="s">
        <v>154</v>
      </c>
      <c r="J50" s="15">
        <v>9</v>
      </c>
      <c r="K50" s="15">
        <v>13</v>
      </c>
      <c r="L50" s="15">
        <v>25</v>
      </c>
      <c r="M50" s="16">
        <v>0.36</v>
      </c>
      <c r="N50" s="16">
        <v>0.52</v>
      </c>
      <c r="O50" s="15">
        <v>1.1599999999999999</v>
      </c>
      <c r="P50" s="15">
        <v>3.375</v>
      </c>
      <c r="Q50" s="15">
        <v>0.2</v>
      </c>
      <c r="R50" s="15">
        <v>421.88</v>
      </c>
      <c r="S50" s="15">
        <v>2.59</v>
      </c>
    </row>
    <row r="51" spans="1:19" x14ac:dyDescent="0.2">
      <c r="A51" s="11" t="s">
        <v>59</v>
      </c>
      <c r="B51" s="11" t="s">
        <v>28</v>
      </c>
      <c r="C51" s="11">
        <v>201720</v>
      </c>
      <c r="D51" s="11">
        <v>21087</v>
      </c>
      <c r="E51" s="11" t="s">
        <v>111</v>
      </c>
      <c r="F51" s="11" t="s">
        <v>138</v>
      </c>
      <c r="G51" s="11" t="s">
        <v>139</v>
      </c>
      <c r="H51" s="11" t="s">
        <v>150</v>
      </c>
      <c r="I51" s="11" t="s">
        <v>153</v>
      </c>
      <c r="J51" s="11">
        <v>18</v>
      </c>
      <c r="K51" s="11">
        <v>21</v>
      </c>
      <c r="L51" s="11">
        <v>26</v>
      </c>
      <c r="M51" s="17">
        <v>0.69230999999999998</v>
      </c>
      <c r="N51" s="17">
        <v>0.80769000000000002</v>
      </c>
      <c r="O51" s="11">
        <v>2.27</v>
      </c>
      <c r="P51" s="11">
        <v>3.375</v>
      </c>
      <c r="Q51" s="11">
        <v>0.2</v>
      </c>
      <c r="R51" s="11">
        <v>438.75</v>
      </c>
      <c r="S51" s="11">
        <v>2.69</v>
      </c>
    </row>
    <row r="52" spans="1:19" x14ac:dyDescent="0.2">
      <c r="A52" s="15" t="s">
        <v>59</v>
      </c>
      <c r="B52" s="15" t="s">
        <v>28</v>
      </c>
      <c r="C52" s="15">
        <v>201720</v>
      </c>
      <c r="D52" s="15">
        <v>21088</v>
      </c>
      <c r="E52" s="15" t="s">
        <v>111</v>
      </c>
      <c r="F52" s="15" t="s">
        <v>138</v>
      </c>
      <c r="G52" s="15" t="s">
        <v>140</v>
      </c>
      <c r="H52" s="15" t="s">
        <v>150</v>
      </c>
      <c r="I52" s="15" t="s">
        <v>154</v>
      </c>
      <c r="J52" s="15">
        <v>14</v>
      </c>
      <c r="K52" s="15">
        <v>17</v>
      </c>
      <c r="L52" s="15">
        <v>20</v>
      </c>
      <c r="M52" s="16">
        <v>0.7</v>
      </c>
      <c r="N52" s="16">
        <v>0.85</v>
      </c>
      <c r="O52" s="15">
        <v>1.95</v>
      </c>
      <c r="P52" s="15">
        <v>3.375</v>
      </c>
      <c r="Q52" s="15">
        <v>0.2</v>
      </c>
      <c r="R52" s="15">
        <v>337.5</v>
      </c>
      <c r="S52" s="15">
        <v>2.0699999999999998</v>
      </c>
    </row>
    <row r="53" spans="1:19" x14ac:dyDescent="0.2">
      <c r="A53" s="11" t="s">
        <v>59</v>
      </c>
      <c r="B53" s="11" t="s">
        <v>28</v>
      </c>
      <c r="C53" s="11">
        <v>201720</v>
      </c>
      <c r="D53" s="11">
        <v>21128</v>
      </c>
      <c r="E53" s="11" t="s">
        <v>111</v>
      </c>
      <c r="F53" s="11" t="s">
        <v>138</v>
      </c>
      <c r="G53" s="11" t="s">
        <v>139</v>
      </c>
      <c r="H53" s="11" t="s">
        <v>150</v>
      </c>
      <c r="I53" s="11" t="s">
        <v>155</v>
      </c>
      <c r="J53" s="11">
        <v>21</v>
      </c>
      <c r="K53" s="11">
        <v>27</v>
      </c>
      <c r="L53" s="11">
        <v>31</v>
      </c>
      <c r="M53" s="17">
        <v>0.67742000000000002</v>
      </c>
      <c r="N53" s="17">
        <v>0.87097000000000002</v>
      </c>
      <c r="O53" s="11">
        <v>2.06</v>
      </c>
      <c r="P53" s="11">
        <v>3.375</v>
      </c>
      <c r="Q53" s="11">
        <v>0.2</v>
      </c>
      <c r="R53" s="11">
        <v>523.13</v>
      </c>
      <c r="S53" s="11">
        <v>3.21</v>
      </c>
    </row>
    <row r="54" spans="1:19" x14ac:dyDescent="0.2">
      <c r="A54" s="15" t="s">
        <v>59</v>
      </c>
      <c r="B54" s="15" t="s">
        <v>28</v>
      </c>
      <c r="C54" s="15">
        <v>201720</v>
      </c>
      <c r="D54" s="15">
        <v>21146</v>
      </c>
      <c r="E54" s="15" t="s">
        <v>111</v>
      </c>
      <c r="F54" s="15" t="s">
        <v>138</v>
      </c>
      <c r="G54" s="15" t="s">
        <v>139</v>
      </c>
      <c r="H54" s="15" t="s">
        <v>150</v>
      </c>
      <c r="I54" s="15" t="s">
        <v>151</v>
      </c>
      <c r="J54" s="15">
        <v>33</v>
      </c>
      <c r="K54" s="15">
        <v>34</v>
      </c>
      <c r="L54" s="15">
        <v>36</v>
      </c>
      <c r="M54" s="16">
        <v>0.91666999999999998</v>
      </c>
      <c r="N54" s="16">
        <v>0.94443999999999995</v>
      </c>
      <c r="O54" s="15">
        <v>3.22</v>
      </c>
      <c r="P54" s="15">
        <v>3.375</v>
      </c>
      <c r="Q54" s="15">
        <v>0.2</v>
      </c>
      <c r="R54" s="15">
        <v>607.5</v>
      </c>
      <c r="S54" s="15">
        <v>3.73</v>
      </c>
    </row>
    <row r="55" spans="1:19" x14ac:dyDescent="0.2">
      <c r="A55" s="11" t="s">
        <v>59</v>
      </c>
      <c r="B55" s="11" t="s">
        <v>29</v>
      </c>
      <c r="C55" s="11">
        <v>201730</v>
      </c>
      <c r="D55" s="11">
        <v>30165</v>
      </c>
      <c r="E55" s="11" t="s">
        <v>111</v>
      </c>
      <c r="F55" s="11" t="s">
        <v>138</v>
      </c>
      <c r="G55" s="11" t="s">
        <v>139</v>
      </c>
      <c r="H55" s="11" t="s">
        <v>150</v>
      </c>
      <c r="I55" s="11" t="s">
        <v>155</v>
      </c>
      <c r="J55" s="11">
        <v>29</v>
      </c>
      <c r="K55" s="11">
        <v>32</v>
      </c>
      <c r="L55" s="11">
        <v>32</v>
      </c>
      <c r="M55" s="17">
        <v>0.90625</v>
      </c>
      <c r="N55" s="17">
        <v>1</v>
      </c>
      <c r="O55" s="11">
        <v>3.19</v>
      </c>
      <c r="P55" s="11">
        <v>3.375</v>
      </c>
      <c r="Q55" s="11">
        <v>0.2</v>
      </c>
      <c r="R55" s="11">
        <v>540</v>
      </c>
      <c r="S55" s="11">
        <v>3.36</v>
      </c>
    </row>
    <row r="56" spans="1:19" x14ac:dyDescent="0.2">
      <c r="A56" s="15" t="s">
        <v>59</v>
      </c>
      <c r="B56" s="15" t="s">
        <v>29</v>
      </c>
      <c r="C56" s="15">
        <v>201730</v>
      </c>
      <c r="D56" s="15">
        <v>30166</v>
      </c>
      <c r="E56" s="15" t="s">
        <v>111</v>
      </c>
      <c r="F56" s="15" t="s">
        <v>138</v>
      </c>
      <c r="G56" s="15" t="s">
        <v>139</v>
      </c>
      <c r="H56" s="15" t="s">
        <v>150</v>
      </c>
      <c r="I56" s="15" t="s">
        <v>151</v>
      </c>
      <c r="J56" s="15">
        <v>33</v>
      </c>
      <c r="K56" s="15">
        <v>33</v>
      </c>
      <c r="L56" s="15">
        <v>33</v>
      </c>
      <c r="M56" s="16">
        <v>1</v>
      </c>
      <c r="N56" s="16">
        <v>1</v>
      </c>
      <c r="O56" s="15">
        <v>3.73</v>
      </c>
      <c r="P56" s="15">
        <v>3.375</v>
      </c>
      <c r="Q56" s="15">
        <v>0.2</v>
      </c>
      <c r="R56" s="15">
        <v>556.88</v>
      </c>
      <c r="S56" s="15">
        <v>3.47</v>
      </c>
    </row>
    <row r="57" spans="1:19" x14ac:dyDescent="0.2">
      <c r="A57" s="11" t="s">
        <v>59</v>
      </c>
      <c r="B57" s="11" t="s">
        <v>29</v>
      </c>
      <c r="C57" s="11">
        <v>201730</v>
      </c>
      <c r="D57" s="11">
        <v>30167</v>
      </c>
      <c r="E57" s="11" t="s">
        <v>111</v>
      </c>
      <c r="F57" s="11" t="s">
        <v>138</v>
      </c>
      <c r="G57" s="11" t="s">
        <v>140</v>
      </c>
      <c r="H57" s="11" t="s">
        <v>150</v>
      </c>
      <c r="I57" s="11" t="s">
        <v>155</v>
      </c>
      <c r="J57" s="11">
        <v>19</v>
      </c>
      <c r="K57" s="11">
        <v>19</v>
      </c>
      <c r="L57" s="11">
        <v>21</v>
      </c>
      <c r="M57" s="17">
        <v>0.90476000000000001</v>
      </c>
      <c r="N57" s="17">
        <v>0.90476000000000001</v>
      </c>
      <c r="O57" s="11">
        <v>3.14</v>
      </c>
      <c r="P57" s="11">
        <v>3.375</v>
      </c>
      <c r="Q57" s="11">
        <v>0.2</v>
      </c>
      <c r="R57" s="11">
        <v>354.38</v>
      </c>
      <c r="S57" s="11">
        <v>2.21</v>
      </c>
    </row>
    <row r="58" spans="1:19" x14ac:dyDescent="0.2">
      <c r="A58" s="15" t="s">
        <v>59</v>
      </c>
      <c r="B58" s="15" t="s">
        <v>29</v>
      </c>
      <c r="C58" s="15">
        <v>201730</v>
      </c>
      <c r="D58" s="15">
        <v>30208</v>
      </c>
      <c r="E58" s="15" t="s">
        <v>111</v>
      </c>
      <c r="F58" s="15" t="s">
        <v>138</v>
      </c>
      <c r="G58" s="15" t="s">
        <v>139</v>
      </c>
      <c r="H58" s="15" t="s">
        <v>150</v>
      </c>
      <c r="I58" s="15" t="s">
        <v>155</v>
      </c>
      <c r="J58" s="15">
        <v>26</v>
      </c>
      <c r="K58" s="15">
        <v>26</v>
      </c>
      <c r="L58" s="15">
        <v>27</v>
      </c>
      <c r="M58" s="16">
        <v>0.96296000000000004</v>
      </c>
      <c r="N58" s="16">
        <v>0.96296000000000004</v>
      </c>
      <c r="O58" s="15">
        <v>3.85</v>
      </c>
      <c r="P58" s="15">
        <v>3.375</v>
      </c>
      <c r="Q58" s="15">
        <v>0.2</v>
      </c>
      <c r="R58" s="15">
        <v>455.63</v>
      </c>
      <c r="S58" s="15">
        <v>2.89</v>
      </c>
    </row>
    <row r="59" spans="1:19" x14ac:dyDescent="0.2">
      <c r="A59" s="11" t="s">
        <v>59</v>
      </c>
      <c r="B59" s="11" t="s">
        <v>29</v>
      </c>
      <c r="C59" s="11">
        <v>201730</v>
      </c>
      <c r="D59" s="11">
        <v>30218</v>
      </c>
      <c r="E59" s="11" t="s">
        <v>111</v>
      </c>
      <c r="F59" s="11" t="s">
        <v>138</v>
      </c>
      <c r="G59" s="11" t="s">
        <v>139</v>
      </c>
      <c r="H59" s="11" t="s">
        <v>150</v>
      </c>
      <c r="I59" s="11" t="s">
        <v>151</v>
      </c>
      <c r="J59" s="11">
        <v>32</v>
      </c>
      <c r="K59" s="11">
        <v>32</v>
      </c>
      <c r="L59" s="11">
        <v>33</v>
      </c>
      <c r="M59" s="17">
        <v>0.96970000000000001</v>
      </c>
      <c r="N59" s="17">
        <v>0.96970000000000001</v>
      </c>
      <c r="O59" s="11">
        <v>3.67</v>
      </c>
      <c r="P59" s="11">
        <v>3.375</v>
      </c>
      <c r="Q59" s="11">
        <v>0.2</v>
      </c>
      <c r="R59" s="11">
        <v>556.88</v>
      </c>
      <c r="S59" s="11">
        <v>3.47</v>
      </c>
    </row>
    <row r="60" spans="1:19" x14ac:dyDescent="0.2">
      <c r="A60" s="15" t="s">
        <v>59</v>
      </c>
      <c r="B60" s="15" t="s">
        <v>26</v>
      </c>
      <c r="C60" s="15">
        <v>201710</v>
      </c>
      <c r="D60" s="15">
        <v>11098</v>
      </c>
      <c r="E60" s="15" t="s">
        <v>111</v>
      </c>
      <c r="F60" s="15" t="s">
        <v>141</v>
      </c>
      <c r="G60" s="15" t="s">
        <v>140</v>
      </c>
      <c r="H60" s="15" t="s">
        <v>150</v>
      </c>
      <c r="I60" s="15" t="s">
        <v>155</v>
      </c>
      <c r="J60" s="15">
        <v>13</v>
      </c>
      <c r="K60" s="15">
        <v>14</v>
      </c>
      <c r="L60" s="15">
        <v>16</v>
      </c>
      <c r="M60" s="16">
        <v>0.8125</v>
      </c>
      <c r="N60" s="16">
        <v>0.875</v>
      </c>
      <c r="O60" s="15">
        <v>2.25</v>
      </c>
      <c r="P60" s="15">
        <v>3.375</v>
      </c>
      <c r="Q60" s="15">
        <v>0.2</v>
      </c>
      <c r="R60" s="15">
        <v>270</v>
      </c>
      <c r="S60" s="15">
        <v>1.66</v>
      </c>
    </row>
    <row r="61" spans="1:19" x14ac:dyDescent="0.2">
      <c r="A61" s="11" t="s">
        <v>59</v>
      </c>
      <c r="B61" s="11" t="s">
        <v>28</v>
      </c>
      <c r="C61" s="11">
        <v>201720</v>
      </c>
      <c r="D61" s="11">
        <v>21145</v>
      </c>
      <c r="E61" s="11" t="s">
        <v>111</v>
      </c>
      <c r="F61" s="11" t="s">
        <v>142</v>
      </c>
      <c r="G61" s="11" t="s">
        <v>140</v>
      </c>
      <c r="H61" s="11" t="s">
        <v>150</v>
      </c>
      <c r="I61" s="11" t="s">
        <v>155</v>
      </c>
      <c r="J61" s="11">
        <v>14</v>
      </c>
      <c r="K61" s="11">
        <v>16</v>
      </c>
      <c r="L61" s="11">
        <v>20</v>
      </c>
      <c r="M61" s="17">
        <v>0.7</v>
      </c>
      <c r="N61" s="17">
        <v>0.8</v>
      </c>
      <c r="O61" s="11">
        <v>2.4</v>
      </c>
      <c r="P61" s="11">
        <v>3.375</v>
      </c>
      <c r="Q61" s="11">
        <v>0.2</v>
      </c>
      <c r="R61" s="11">
        <v>337.5</v>
      </c>
      <c r="S61" s="11">
        <v>2.0699999999999998</v>
      </c>
    </row>
    <row r="62" spans="1:19" x14ac:dyDescent="0.2">
      <c r="A62" s="15" t="s">
        <v>59</v>
      </c>
      <c r="B62" s="15" t="s">
        <v>26</v>
      </c>
      <c r="C62" s="15">
        <v>201710</v>
      </c>
      <c r="D62" s="15">
        <v>11099</v>
      </c>
      <c r="E62" s="15" t="s">
        <v>111</v>
      </c>
      <c r="F62" s="15" t="s">
        <v>143</v>
      </c>
      <c r="G62" s="15" t="s">
        <v>139</v>
      </c>
      <c r="H62" s="15" t="s">
        <v>150</v>
      </c>
      <c r="I62" s="15" t="s">
        <v>154</v>
      </c>
      <c r="J62" s="15">
        <v>9</v>
      </c>
      <c r="K62" s="15">
        <v>10</v>
      </c>
      <c r="L62" s="15">
        <v>11</v>
      </c>
      <c r="M62" s="16">
        <v>0.81818000000000002</v>
      </c>
      <c r="N62" s="16">
        <v>0.90908999999999995</v>
      </c>
      <c r="O62" s="15">
        <v>2.1800000000000002</v>
      </c>
      <c r="P62" s="15">
        <v>3.375</v>
      </c>
      <c r="Q62" s="15">
        <v>0.2</v>
      </c>
      <c r="R62" s="15">
        <v>185.63</v>
      </c>
      <c r="S62" s="15">
        <v>1.1399999999999999</v>
      </c>
    </row>
    <row r="63" spans="1:19" x14ac:dyDescent="0.2">
      <c r="A63" s="11" t="s">
        <v>59</v>
      </c>
      <c r="B63" s="11" t="s">
        <v>26</v>
      </c>
      <c r="C63" s="11">
        <v>201710</v>
      </c>
      <c r="D63" s="11">
        <v>11100</v>
      </c>
      <c r="E63" s="11" t="s">
        <v>111</v>
      </c>
      <c r="F63" s="11" t="s">
        <v>143</v>
      </c>
      <c r="G63" s="11" t="s">
        <v>139</v>
      </c>
      <c r="H63" s="11" t="s">
        <v>150</v>
      </c>
      <c r="I63" s="11" t="s">
        <v>154</v>
      </c>
      <c r="J63" s="11">
        <v>14</v>
      </c>
      <c r="K63" s="11">
        <v>15</v>
      </c>
      <c r="L63" s="11">
        <v>19</v>
      </c>
      <c r="M63" s="17">
        <v>0.73684000000000005</v>
      </c>
      <c r="N63" s="17">
        <v>0.78947000000000001</v>
      </c>
      <c r="O63" s="11">
        <v>2.37</v>
      </c>
      <c r="P63" s="11">
        <v>3.375</v>
      </c>
      <c r="Q63" s="11">
        <v>0.2</v>
      </c>
      <c r="R63" s="11">
        <v>320.63</v>
      </c>
      <c r="S63" s="11">
        <v>1.97</v>
      </c>
    </row>
    <row r="64" spans="1:19" x14ac:dyDescent="0.2">
      <c r="A64" s="15" t="s">
        <v>59</v>
      </c>
      <c r="B64" s="15" t="s">
        <v>26</v>
      </c>
      <c r="C64" s="15">
        <v>201710</v>
      </c>
      <c r="D64" s="15">
        <v>11102</v>
      </c>
      <c r="E64" s="15" t="s">
        <v>111</v>
      </c>
      <c r="F64" s="15" t="s">
        <v>143</v>
      </c>
      <c r="G64" s="15" t="s">
        <v>140</v>
      </c>
      <c r="H64" s="15" t="s">
        <v>150</v>
      </c>
      <c r="I64" s="15" t="s">
        <v>154</v>
      </c>
      <c r="J64" s="15">
        <v>14</v>
      </c>
      <c r="K64" s="15">
        <v>17</v>
      </c>
      <c r="L64" s="15">
        <v>19</v>
      </c>
      <c r="M64" s="16">
        <v>0.73684000000000005</v>
      </c>
      <c r="N64" s="16">
        <v>0.89473999999999998</v>
      </c>
      <c r="O64" s="15">
        <v>1.89</v>
      </c>
      <c r="P64" s="15">
        <v>3.375</v>
      </c>
      <c r="Q64" s="15">
        <v>0.2</v>
      </c>
      <c r="R64" s="15">
        <v>320.63</v>
      </c>
      <c r="S64" s="15">
        <v>1.97</v>
      </c>
    </row>
    <row r="65" spans="1:19" x14ac:dyDescent="0.2">
      <c r="A65" s="11" t="s">
        <v>59</v>
      </c>
      <c r="B65" s="11" t="s">
        <v>26</v>
      </c>
      <c r="C65" s="11">
        <v>201710</v>
      </c>
      <c r="D65" s="11">
        <v>11103</v>
      </c>
      <c r="E65" s="11" t="s">
        <v>111</v>
      </c>
      <c r="F65" s="11" t="s">
        <v>143</v>
      </c>
      <c r="G65" s="11" t="s">
        <v>139</v>
      </c>
      <c r="H65" s="11" t="s">
        <v>150</v>
      </c>
      <c r="I65" s="11" t="s">
        <v>154</v>
      </c>
      <c r="J65" s="11">
        <v>14</v>
      </c>
      <c r="K65" s="11">
        <v>15</v>
      </c>
      <c r="L65" s="11">
        <v>20</v>
      </c>
      <c r="M65" s="17">
        <v>0.7</v>
      </c>
      <c r="N65" s="17">
        <v>0.75</v>
      </c>
      <c r="O65" s="11">
        <v>1.9</v>
      </c>
      <c r="P65" s="11">
        <v>3.375</v>
      </c>
      <c r="Q65" s="11">
        <v>0.2</v>
      </c>
      <c r="R65" s="11">
        <v>337.5</v>
      </c>
      <c r="S65" s="11">
        <v>2.0699999999999998</v>
      </c>
    </row>
    <row r="66" spans="1:19" x14ac:dyDescent="0.2">
      <c r="A66" s="15" t="s">
        <v>59</v>
      </c>
      <c r="B66" s="15" t="s">
        <v>26</v>
      </c>
      <c r="C66" s="15">
        <v>201710</v>
      </c>
      <c r="D66" s="15">
        <v>11104</v>
      </c>
      <c r="E66" s="15" t="s">
        <v>111</v>
      </c>
      <c r="F66" s="15" t="s">
        <v>143</v>
      </c>
      <c r="G66" s="15" t="s">
        <v>140</v>
      </c>
      <c r="H66" s="15" t="s">
        <v>150</v>
      </c>
      <c r="I66" s="15" t="s">
        <v>154</v>
      </c>
      <c r="J66" s="15">
        <v>13</v>
      </c>
      <c r="K66" s="15">
        <v>18</v>
      </c>
      <c r="L66" s="15">
        <v>21</v>
      </c>
      <c r="M66" s="16">
        <v>0.61904999999999999</v>
      </c>
      <c r="N66" s="16">
        <v>0.85714000000000001</v>
      </c>
      <c r="O66" s="15">
        <v>1.62</v>
      </c>
      <c r="P66" s="15">
        <v>3.375</v>
      </c>
      <c r="Q66" s="15">
        <v>0.2</v>
      </c>
      <c r="R66" s="15">
        <v>354.38</v>
      </c>
      <c r="S66" s="15">
        <v>2.1800000000000002</v>
      </c>
    </row>
    <row r="67" spans="1:19" x14ac:dyDescent="0.2">
      <c r="A67" s="11" t="s">
        <v>59</v>
      </c>
      <c r="B67" s="11" t="s">
        <v>26</v>
      </c>
      <c r="C67" s="11">
        <v>201710</v>
      </c>
      <c r="D67" s="11">
        <v>11105</v>
      </c>
      <c r="E67" s="11" t="s">
        <v>111</v>
      </c>
      <c r="F67" s="11" t="s">
        <v>143</v>
      </c>
      <c r="G67" s="11" t="s">
        <v>139</v>
      </c>
      <c r="H67" s="11" t="s">
        <v>150</v>
      </c>
      <c r="I67" s="11" t="s">
        <v>156</v>
      </c>
      <c r="J67" s="11">
        <v>24</v>
      </c>
      <c r="K67" s="11">
        <v>25</v>
      </c>
      <c r="L67" s="11">
        <v>29</v>
      </c>
      <c r="M67" s="17">
        <v>0.82759000000000005</v>
      </c>
      <c r="N67" s="17">
        <v>0.86207</v>
      </c>
      <c r="O67" s="11">
        <v>3.14</v>
      </c>
      <c r="P67" s="11">
        <v>3.375</v>
      </c>
      <c r="Q67" s="11">
        <v>0.2</v>
      </c>
      <c r="R67" s="11">
        <v>489.38</v>
      </c>
      <c r="S67" s="11">
        <v>3</v>
      </c>
    </row>
    <row r="68" spans="1:19" x14ac:dyDescent="0.2">
      <c r="A68" s="15" t="s">
        <v>59</v>
      </c>
      <c r="B68" s="15" t="s">
        <v>26</v>
      </c>
      <c r="C68" s="15">
        <v>201710</v>
      </c>
      <c r="D68" s="15">
        <v>11106</v>
      </c>
      <c r="E68" s="15" t="s">
        <v>111</v>
      </c>
      <c r="F68" s="15" t="s">
        <v>143</v>
      </c>
      <c r="G68" s="15" t="s">
        <v>139</v>
      </c>
      <c r="H68" s="15" t="s">
        <v>150</v>
      </c>
      <c r="I68" s="15" t="s">
        <v>156</v>
      </c>
      <c r="J68" s="15">
        <v>29</v>
      </c>
      <c r="K68" s="15">
        <v>29</v>
      </c>
      <c r="L68" s="15">
        <v>30</v>
      </c>
      <c r="M68" s="16">
        <v>0.96667000000000003</v>
      </c>
      <c r="N68" s="16">
        <v>0.96667000000000003</v>
      </c>
      <c r="O68" s="15">
        <v>3.3</v>
      </c>
      <c r="P68" s="15">
        <v>3.375</v>
      </c>
      <c r="Q68" s="15">
        <v>0.2</v>
      </c>
      <c r="R68" s="15">
        <v>506.25</v>
      </c>
      <c r="S68" s="15">
        <v>3.11</v>
      </c>
    </row>
    <row r="69" spans="1:19" x14ac:dyDescent="0.2">
      <c r="A69" s="11" t="s">
        <v>59</v>
      </c>
      <c r="B69" s="11" t="s">
        <v>26</v>
      </c>
      <c r="C69" s="11">
        <v>201710</v>
      </c>
      <c r="D69" s="11">
        <v>11107</v>
      </c>
      <c r="E69" s="11" t="s">
        <v>111</v>
      </c>
      <c r="F69" s="11" t="s">
        <v>143</v>
      </c>
      <c r="G69" s="11" t="s">
        <v>139</v>
      </c>
      <c r="H69" s="11" t="s">
        <v>157</v>
      </c>
      <c r="I69" s="11" t="s">
        <v>156</v>
      </c>
      <c r="J69" s="11">
        <v>15</v>
      </c>
      <c r="K69" s="11">
        <v>16</v>
      </c>
      <c r="L69" s="11">
        <v>22</v>
      </c>
      <c r="M69" s="17">
        <v>0.68181999999999998</v>
      </c>
      <c r="N69" s="17">
        <v>0.72726999999999997</v>
      </c>
      <c r="O69" s="11">
        <v>2.36</v>
      </c>
      <c r="P69" s="11">
        <v>3.375</v>
      </c>
      <c r="Q69" s="11">
        <v>0.2</v>
      </c>
      <c r="R69" s="11">
        <v>371.25</v>
      </c>
      <c r="S69" s="11">
        <v>2.14</v>
      </c>
    </row>
    <row r="70" spans="1:19" x14ac:dyDescent="0.2">
      <c r="A70" s="15" t="s">
        <v>59</v>
      </c>
      <c r="B70" s="15" t="s">
        <v>27</v>
      </c>
      <c r="C70" s="15">
        <v>201715</v>
      </c>
      <c r="D70" s="15">
        <v>15168</v>
      </c>
      <c r="E70" s="15" t="s">
        <v>111</v>
      </c>
      <c r="F70" s="15" t="s">
        <v>143</v>
      </c>
      <c r="G70" s="15" t="s">
        <v>139</v>
      </c>
      <c r="H70" s="15" t="s">
        <v>150</v>
      </c>
      <c r="I70" s="15" t="s">
        <v>154</v>
      </c>
      <c r="J70" s="15">
        <v>22</v>
      </c>
      <c r="K70" s="15">
        <v>23</v>
      </c>
      <c r="L70" s="15">
        <v>25</v>
      </c>
      <c r="M70" s="16">
        <v>0.88</v>
      </c>
      <c r="N70" s="16">
        <v>0.92</v>
      </c>
      <c r="O70" s="15">
        <v>2.8</v>
      </c>
      <c r="P70" s="15">
        <v>3.375</v>
      </c>
      <c r="Q70" s="15">
        <v>0.2</v>
      </c>
      <c r="R70" s="15">
        <v>421.88</v>
      </c>
      <c r="S70" s="15">
        <v>2.63</v>
      </c>
    </row>
    <row r="71" spans="1:19" x14ac:dyDescent="0.2">
      <c r="A71" s="11" t="s">
        <v>59</v>
      </c>
      <c r="B71" s="11" t="s">
        <v>28</v>
      </c>
      <c r="C71" s="11">
        <v>201720</v>
      </c>
      <c r="D71" s="11">
        <v>21091</v>
      </c>
      <c r="E71" s="11" t="s">
        <v>111</v>
      </c>
      <c r="F71" s="11" t="s">
        <v>143</v>
      </c>
      <c r="G71" s="11" t="s">
        <v>139</v>
      </c>
      <c r="H71" s="11" t="s">
        <v>150</v>
      </c>
      <c r="I71" s="11" t="s">
        <v>154</v>
      </c>
      <c r="J71" s="11">
        <v>23</v>
      </c>
      <c r="K71" s="11">
        <v>25</v>
      </c>
      <c r="L71" s="11">
        <v>30</v>
      </c>
      <c r="M71" s="17">
        <v>0.76666999999999996</v>
      </c>
      <c r="N71" s="17">
        <v>0.83333000000000002</v>
      </c>
      <c r="O71" s="11">
        <v>2.2000000000000002</v>
      </c>
      <c r="P71" s="11">
        <v>3.375</v>
      </c>
      <c r="Q71" s="11">
        <v>0.2</v>
      </c>
      <c r="R71" s="11">
        <v>506.25</v>
      </c>
      <c r="S71" s="11">
        <v>3.11</v>
      </c>
    </row>
    <row r="72" spans="1:19" x14ac:dyDescent="0.2">
      <c r="A72" s="15" t="s">
        <v>59</v>
      </c>
      <c r="B72" s="15" t="s">
        <v>28</v>
      </c>
      <c r="C72" s="15">
        <v>201720</v>
      </c>
      <c r="D72" s="15">
        <v>21092</v>
      </c>
      <c r="E72" s="15" t="s">
        <v>111</v>
      </c>
      <c r="F72" s="15" t="s">
        <v>143</v>
      </c>
      <c r="G72" s="15" t="s">
        <v>139</v>
      </c>
      <c r="H72" s="15" t="s">
        <v>150</v>
      </c>
      <c r="I72" s="15" t="s">
        <v>154</v>
      </c>
      <c r="J72" s="15">
        <v>28</v>
      </c>
      <c r="K72" s="15">
        <v>30</v>
      </c>
      <c r="L72" s="15">
        <v>30</v>
      </c>
      <c r="M72" s="16">
        <v>0.93332999999999999</v>
      </c>
      <c r="N72" s="16">
        <v>1</v>
      </c>
      <c r="O72" s="15">
        <v>2.6</v>
      </c>
      <c r="P72" s="15">
        <v>3.375</v>
      </c>
      <c r="Q72" s="15">
        <v>0.2</v>
      </c>
      <c r="R72" s="15">
        <v>506.25</v>
      </c>
      <c r="S72" s="15">
        <v>3.11</v>
      </c>
    </row>
    <row r="73" spans="1:19" x14ac:dyDescent="0.2">
      <c r="A73" s="11" t="s">
        <v>59</v>
      </c>
      <c r="B73" s="11" t="s">
        <v>28</v>
      </c>
      <c r="C73" s="11">
        <v>201720</v>
      </c>
      <c r="D73" s="11">
        <v>21093</v>
      </c>
      <c r="E73" s="11" t="s">
        <v>111</v>
      </c>
      <c r="F73" s="11" t="s">
        <v>143</v>
      </c>
      <c r="G73" s="11" t="s">
        <v>140</v>
      </c>
      <c r="H73" s="11" t="s">
        <v>150</v>
      </c>
      <c r="I73" s="11" t="s">
        <v>154</v>
      </c>
      <c r="J73" s="11">
        <v>20</v>
      </c>
      <c r="K73" s="11">
        <v>24</v>
      </c>
      <c r="L73" s="11">
        <v>28</v>
      </c>
      <c r="M73" s="17">
        <v>0.71428999999999998</v>
      </c>
      <c r="N73" s="17">
        <v>0.85714000000000001</v>
      </c>
      <c r="O73" s="11">
        <v>2.29</v>
      </c>
      <c r="P73" s="11">
        <v>3.375</v>
      </c>
      <c r="Q73" s="11">
        <v>0.2</v>
      </c>
      <c r="R73" s="11">
        <v>472.5</v>
      </c>
      <c r="S73" s="11">
        <v>2.9</v>
      </c>
    </row>
    <row r="74" spans="1:19" x14ac:dyDescent="0.2">
      <c r="A74" s="15" t="s">
        <v>59</v>
      </c>
      <c r="B74" s="15" t="s">
        <v>28</v>
      </c>
      <c r="C74" s="15">
        <v>201720</v>
      </c>
      <c r="D74" s="15">
        <v>21094</v>
      </c>
      <c r="E74" s="15" t="s">
        <v>111</v>
      </c>
      <c r="F74" s="15" t="s">
        <v>143</v>
      </c>
      <c r="G74" s="15" t="s">
        <v>140</v>
      </c>
      <c r="H74" s="15" t="s">
        <v>150</v>
      </c>
      <c r="I74" s="15" t="s">
        <v>154</v>
      </c>
      <c r="J74" s="15">
        <v>15</v>
      </c>
      <c r="K74" s="15">
        <v>17</v>
      </c>
      <c r="L74" s="15">
        <v>20</v>
      </c>
      <c r="M74" s="16">
        <v>0.75</v>
      </c>
      <c r="N74" s="16">
        <v>0.85</v>
      </c>
      <c r="O74" s="15">
        <v>2.0499999999999998</v>
      </c>
      <c r="P74" s="15">
        <v>3.375</v>
      </c>
      <c r="Q74" s="15">
        <v>0.2</v>
      </c>
      <c r="R74" s="15">
        <v>337.5</v>
      </c>
      <c r="S74" s="15">
        <v>2.0699999999999998</v>
      </c>
    </row>
    <row r="75" spans="1:19" x14ac:dyDescent="0.2">
      <c r="A75" s="11" t="s">
        <v>59</v>
      </c>
      <c r="B75" s="11" t="s">
        <v>28</v>
      </c>
      <c r="C75" s="11">
        <v>201720</v>
      </c>
      <c r="D75" s="11">
        <v>21095</v>
      </c>
      <c r="E75" s="11" t="s">
        <v>111</v>
      </c>
      <c r="F75" s="11" t="s">
        <v>143</v>
      </c>
      <c r="G75" s="11" t="s">
        <v>139</v>
      </c>
      <c r="H75" s="11" t="s">
        <v>150</v>
      </c>
      <c r="I75" s="11" t="s">
        <v>154</v>
      </c>
      <c r="J75" s="11">
        <v>17</v>
      </c>
      <c r="K75" s="11">
        <v>24</v>
      </c>
      <c r="L75" s="11">
        <v>28</v>
      </c>
      <c r="M75" s="17">
        <v>0.60714000000000001</v>
      </c>
      <c r="N75" s="17">
        <v>0.85714000000000001</v>
      </c>
      <c r="O75" s="11">
        <v>1.96</v>
      </c>
      <c r="P75" s="11">
        <v>3.375</v>
      </c>
      <c r="Q75" s="11">
        <v>0.2</v>
      </c>
      <c r="R75" s="11">
        <v>472.5</v>
      </c>
      <c r="S75" s="11">
        <v>2.9</v>
      </c>
    </row>
    <row r="76" spans="1:19" x14ac:dyDescent="0.2">
      <c r="A76" s="15" t="s">
        <v>59</v>
      </c>
      <c r="B76" s="15" t="s">
        <v>28</v>
      </c>
      <c r="C76" s="15">
        <v>201720</v>
      </c>
      <c r="D76" s="15">
        <v>21137</v>
      </c>
      <c r="E76" s="15" t="s">
        <v>111</v>
      </c>
      <c r="F76" s="15" t="s">
        <v>143</v>
      </c>
      <c r="G76" s="15" t="s">
        <v>139</v>
      </c>
      <c r="H76" s="15" t="s">
        <v>150</v>
      </c>
      <c r="I76" s="15" t="s">
        <v>156</v>
      </c>
      <c r="J76" s="15">
        <v>30</v>
      </c>
      <c r="K76" s="15">
        <v>31</v>
      </c>
      <c r="L76" s="15">
        <v>32</v>
      </c>
      <c r="M76" s="16">
        <v>0.9375</v>
      </c>
      <c r="N76" s="16">
        <v>0.96875</v>
      </c>
      <c r="O76" s="15">
        <v>3.34</v>
      </c>
      <c r="P76" s="15">
        <v>3.375</v>
      </c>
      <c r="Q76" s="15">
        <v>0.2</v>
      </c>
      <c r="R76" s="15">
        <v>540</v>
      </c>
      <c r="S76" s="15">
        <v>3.32</v>
      </c>
    </row>
    <row r="77" spans="1:19" x14ac:dyDescent="0.2">
      <c r="A77" s="11" t="s">
        <v>59</v>
      </c>
      <c r="B77" s="11" t="s">
        <v>28</v>
      </c>
      <c r="C77" s="11">
        <v>201720</v>
      </c>
      <c r="D77" s="11">
        <v>21169</v>
      </c>
      <c r="E77" s="11" t="s">
        <v>111</v>
      </c>
      <c r="F77" s="11" t="s">
        <v>143</v>
      </c>
      <c r="G77" s="11" t="s">
        <v>139</v>
      </c>
      <c r="H77" s="11" t="s">
        <v>150</v>
      </c>
      <c r="I77" s="11" t="s">
        <v>156</v>
      </c>
      <c r="J77" s="11">
        <v>24</v>
      </c>
      <c r="K77" s="11">
        <v>27</v>
      </c>
      <c r="L77" s="11">
        <v>29</v>
      </c>
      <c r="M77" s="17">
        <v>0.82759000000000005</v>
      </c>
      <c r="N77" s="17">
        <v>0.93103000000000002</v>
      </c>
      <c r="O77" s="11">
        <v>2.9</v>
      </c>
      <c r="P77" s="11">
        <v>3.375</v>
      </c>
      <c r="Q77" s="11">
        <v>0.2</v>
      </c>
      <c r="R77" s="11">
        <v>489.38</v>
      </c>
      <c r="S77" s="11">
        <v>3</v>
      </c>
    </row>
    <row r="78" spans="1:19" x14ac:dyDescent="0.2">
      <c r="A78" s="15" t="s">
        <v>59</v>
      </c>
      <c r="B78" s="15" t="s">
        <v>29</v>
      </c>
      <c r="C78" s="15">
        <v>201730</v>
      </c>
      <c r="D78" s="15">
        <v>30168</v>
      </c>
      <c r="E78" s="15" t="s">
        <v>111</v>
      </c>
      <c r="F78" s="15" t="s">
        <v>143</v>
      </c>
      <c r="G78" s="15" t="s">
        <v>139</v>
      </c>
      <c r="H78" s="15" t="s">
        <v>150</v>
      </c>
      <c r="I78" s="15" t="s">
        <v>156</v>
      </c>
      <c r="J78" s="15">
        <v>27</v>
      </c>
      <c r="K78" s="15">
        <v>27</v>
      </c>
      <c r="L78" s="15">
        <v>28</v>
      </c>
      <c r="M78" s="16">
        <v>0.96428999999999998</v>
      </c>
      <c r="N78" s="16">
        <v>0.96428999999999998</v>
      </c>
      <c r="O78" s="15">
        <v>3.43</v>
      </c>
      <c r="P78" s="15">
        <v>3.375</v>
      </c>
      <c r="Q78" s="15">
        <v>0.2</v>
      </c>
      <c r="R78" s="15">
        <v>472.5</v>
      </c>
      <c r="S78" s="15">
        <v>2.94</v>
      </c>
    </row>
    <row r="79" spans="1:19" x14ac:dyDescent="0.2">
      <c r="A79" s="11" t="s">
        <v>59</v>
      </c>
      <c r="B79" s="11" t="s">
        <v>29</v>
      </c>
      <c r="C79" s="11">
        <v>201730</v>
      </c>
      <c r="D79" s="11">
        <v>30216</v>
      </c>
      <c r="E79" s="11" t="s">
        <v>111</v>
      </c>
      <c r="F79" s="11" t="s">
        <v>143</v>
      </c>
      <c r="G79" s="11" t="s">
        <v>139</v>
      </c>
      <c r="H79" s="11" t="s">
        <v>150</v>
      </c>
      <c r="I79" s="11" t="s">
        <v>156</v>
      </c>
      <c r="J79" s="11">
        <v>22</v>
      </c>
      <c r="K79" s="11">
        <v>22</v>
      </c>
      <c r="L79" s="11">
        <v>22</v>
      </c>
      <c r="M79" s="17">
        <v>1</v>
      </c>
      <c r="N79" s="17">
        <v>1</v>
      </c>
      <c r="O79" s="11">
        <v>3.59</v>
      </c>
      <c r="P79" s="11">
        <v>3.375</v>
      </c>
      <c r="Q79" s="11">
        <v>0.2</v>
      </c>
      <c r="R79" s="11">
        <v>371.25</v>
      </c>
      <c r="S79" s="11">
        <v>2.31</v>
      </c>
    </row>
  </sheetData>
  <sheetProtection formatCells="0" formatColumns="0" formatRows="0" insertColumns="0" insertRows="0" insertHyperlinks="0" deleteColumns="0" deleteRows="0" sort="0" autoFilter="0" pivotTables="0"/>
  <autoFilter ref="A5:S79"/>
  <mergeCells count="3">
    <mergeCell ref="A1:S1"/>
    <mergeCell ref="A2:S2"/>
    <mergeCell ref="A3:S3"/>
  </mergeCells>
  <conditionalFormatting sqref="M6:M79">
    <cfRule type="cellIs" dxfId="3" priority="1" operator="lessThan">
      <formula>0.7</formula>
    </cfRule>
  </conditionalFormatting>
  <conditionalFormatting sqref="N6:N79">
    <cfRule type="cellIs" dxfId="2" priority="2" operator="lessThan">
      <formula>0.86</formula>
    </cfRule>
  </conditionalFormatting>
  <conditionalFormatting sqref="R6:R79">
    <cfRule type="cellIs" dxfId="1" priority="3" operator="lessThan">
      <formula>565</formula>
    </cfRule>
  </conditionalFormatting>
  <conditionalFormatting sqref="R6:R79">
    <cfRule type="cellIs" dxfId="0" priority="4" operator="greaterThanOrEqual">
      <formula>565</formula>
    </cfRule>
  </conditionalFormatting>
  <pageMargins left="0.4" right="0.4" top="0.6" bottom="0.6" header="0.3" footer="0.3"/>
  <pageSetup fitToHeight="0" orientation="landscape"/>
  <headerFooter>
    <oddHeader>&amp;L&amp;B2017-2018 IVC Research Report for COMM&amp;RPrinted on &amp;D</oddHeader>
    <oddFooter>&amp;L&amp;BGenerated By: Office of Institutional Research&amp;RPage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  <vt:lpstr>course_data</vt:lpstr>
      <vt:lpstr>'H. COURSE DATA'!Print_Titles</vt:lpstr>
      <vt:lpstr>'I. SECTION DATA'!Print_Titles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2017-2018 IVC Research Report for COMM</dc:title>
  <dc:subject>2017-2018 IVC Research Report for COMM</dc:subject>
  <dc:creator>Office of Institutional Research</dc:creator>
  <cp:keywords/>
  <dc:description>COMM Specific Report Generated from Banner Data.</dc:description>
  <cp:lastModifiedBy>Windows User</cp:lastModifiedBy>
  <dcterms:created xsi:type="dcterms:W3CDTF">2017-08-11T21:46:03Z</dcterms:created>
  <dcterms:modified xsi:type="dcterms:W3CDTF">2017-12-01T17:21:19Z</dcterms:modified>
  <cp:category/>
</cp:coreProperties>
</file>