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liver.zambrano\Desktop\"/>
    </mc:Choice>
  </mc:AlternateContent>
  <bookViews>
    <workbookView xWindow="0" yWindow="0" windowWidth="28800" windowHeight="12030"/>
  </bookViews>
  <sheets>
    <sheet name="COVER PAGE" sheetId="1" r:id="rId1"/>
    <sheet name="A. ENRL &amp; FILL RATES" sheetId="2" r:id="rId2"/>
    <sheet name="B. PRODUCTIVITY" sheetId="3" r:id="rId3"/>
    <sheet name="C. SUCCESS &amp; RETENTION" sheetId="4" r:id="rId4"/>
    <sheet name="D. SUCC &amp; RET BY ETHN" sheetId="5" r:id="rId5"/>
    <sheet name="E. SUCC &amp; RET BY AGE" sheetId="6" r:id="rId6"/>
    <sheet name="F. SUCC &amp; RET BY GENDER" sheetId="7" r:id="rId7"/>
    <sheet name="G. DEGREES &amp; CERTS" sheetId="8" r:id="rId8"/>
    <sheet name="H. COURSE DATA" sheetId="9" r:id="rId9"/>
    <sheet name="I. SECTION DATA" sheetId="10" r:id="rId10"/>
    <sheet name="Worksheet" sheetId="11" r:id="rId11"/>
  </sheets>
  <definedNames>
    <definedName name="_xlnm._FilterDatabase" localSheetId="8" hidden="1">'H. COURSE DATA'!$A$5:$T$83</definedName>
    <definedName name="_xlnm._FilterDatabase" localSheetId="9" hidden="1">'I. SECTION DATA'!$A$5:$S$94</definedName>
    <definedName name="course_data">'H. COURSE DATA'!$A$5:$T$83</definedName>
    <definedName name="_xlnm.Print_Titles" localSheetId="8">'H. COURSE DATA'!$5:$5</definedName>
    <definedName name="_xlnm.Print_Titles" localSheetId="9">'I. SECTION DATA'!$5:$5</definedName>
  </definedNames>
  <calcPr calcId="162913"/>
</workbook>
</file>

<file path=xl/calcChain.xml><?xml version="1.0" encoding="utf-8"?>
<calcChain xmlns="http://schemas.openxmlformats.org/spreadsheetml/2006/main">
  <c r="F35" i="8" l="1"/>
  <c r="H25" i="7"/>
  <c r="J25" i="7" s="1"/>
  <c r="E25" i="7"/>
  <c r="G25" i="7" s="1"/>
  <c r="D25" i="7"/>
  <c r="C25" i="7"/>
  <c r="B25" i="7"/>
  <c r="J18" i="7"/>
  <c r="I18" i="7"/>
  <c r="H18" i="7"/>
  <c r="E18" i="7"/>
  <c r="G18" i="7" s="1"/>
  <c r="B18" i="7"/>
  <c r="D18" i="7" s="1"/>
  <c r="V25" i="6"/>
  <c r="U25" i="6"/>
  <c r="T25" i="6"/>
  <c r="S25" i="6"/>
  <c r="R25" i="6"/>
  <c r="Q25" i="6"/>
  <c r="N25" i="6"/>
  <c r="P25" i="6" s="1"/>
  <c r="K25" i="6"/>
  <c r="M25" i="6" s="1"/>
  <c r="J25" i="6"/>
  <c r="I25" i="6"/>
  <c r="H25" i="6"/>
  <c r="G25" i="6"/>
  <c r="F25" i="6"/>
  <c r="E25" i="6"/>
  <c r="B25" i="6"/>
  <c r="D25" i="6" s="1"/>
  <c r="T18" i="6"/>
  <c r="V18" i="6" s="1"/>
  <c r="S18" i="6"/>
  <c r="R18" i="6"/>
  <c r="Q18" i="6"/>
  <c r="P18" i="6"/>
  <c r="O18" i="6"/>
  <c r="N18" i="6"/>
  <c r="K18" i="6"/>
  <c r="M18" i="6" s="1"/>
  <c r="H18" i="6"/>
  <c r="J18" i="6" s="1"/>
  <c r="G18" i="6"/>
  <c r="F18" i="6"/>
  <c r="E18" i="6"/>
  <c r="D18" i="6"/>
  <c r="C18" i="6"/>
  <c r="B18" i="6"/>
  <c r="N25" i="5"/>
  <c r="P25" i="5" s="1"/>
  <c r="K25" i="5"/>
  <c r="M25" i="5" s="1"/>
  <c r="J25" i="5"/>
  <c r="I25" i="5"/>
  <c r="H25" i="5"/>
  <c r="G25" i="5"/>
  <c r="F25" i="5"/>
  <c r="E25" i="5"/>
  <c r="B25" i="5"/>
  <c r="D25" i="5" s="1"/>
  <c r="N18" i="5"/>
  <c r="P18" i="5" s="1"/>
  <c r="M18" i="5"/>
  <c r="L18" i="5"/>
  <c r="K18" i="5"/>
  <c r="J18" i="5"/>
  <c r="I18" i="5"/>
  <c r="H18" i="5"/>
  <c r="E18" i="5"/>
  <c r="G18" i="5" s="1"/>
  <c r="B18" i="5"/>
  <c r="D18" i="5" s="1"/>
  <c r="B25" i="4"/>
  <c r="D25" i="4" s="1"/>
  <c r="H24" i="4"/>
  <c r="J24" i="4" s="1"/>
  <c r="G24" i="4"/>
  <c r="E24" i="4"/>
  <c r="F24" i="4" s="1"/>
  <c r="D24" i="4"/>
  <c r="C24" i="4"/>
  <c r="B24" i="4"/>
  <c r="H23" i="4"/>
  <c r="J23" i="4" s="1"/>
  <c r="E23" i="4"/>
  <c r="G23" i="4" s="1"/>
  <c r="D23" i="4"/>
  <c r="B23" i="4"/>
  <c r="C23" i="4" s="1"/>
  <c r="J22" i="4"/>
  <c r="I22" i="4"/>
  <c r="H22" i="4"/>
  <c r="H25" i="4" s="1"/>
  <c r="E22" i="4"/>
  <c r="E25" i="4" s="1"/>
  <c r="B22" i="4"/>
  <c r="D22" i="4" s="1"/>
  <c r="H17" i="4"/>
  <c r="J17" i="4" s="1"/>
  <c r="G17" i="4"/>
  <c r="E17" i="4"/>
  <c r="F17" i="4" s="1"/>
  <c r="D17" i="4"/>
  <c r="C17" i="4"/>
  <c r="B17" i="4"/>
  <c r="H16" i="4"/>
  <c r="J16" i="4" s="1"/>
  <c r="E16" i="4"/>
  <c r="G16" i="4" s="1"/>
  <c r="D16" i="4"/>
  <c r="B16" i="4"/>
  <c r="C16" i="4" s="1"/>
  <c r="J15" i="4"/>
  <c r="I15" i="4"/>
  <c r="H15" i="4"/>
  <c r="E15" i="4"/>
  <c r="G15" i="4" s="1"/>
  <c r="B15" i="4"/>
  <c r="D15" i="4" s="1"/>
  <c r="J14" i="4"/>
  <c r="H14" i="4"/>
  <c r="I14" i="4" s="1"/>
  <c r="G14" i="4"/>
  <c r="F14" i="4"/>
  <c r="E14" i="4"/>
  <c r="B14" i="4"/>
  <c r="D14" i="4" s="1"/>
  <c r="H13" i="4"/>
  <c r="J13" i="4" s="1"/>
  <c r="G13" i="4"/>
  <c r="E13" i="4"/>
  <c r="F13" i="4" s="1"/>
  <c r="D13" i="4"/>
  <c r="C13" i="4"/>
  <c r="B13" i="4"/>
  <c r="H12" i="4"/>
  <c r="J12" i="4" s="1"/>
  <c r="E12" i="4"/>
  <c r="G12" i="4" s="1"/>
  <c r="D12" i="4"/>
  <c r="B12" i="4"/>
  <c r="C12" i="4" s="1"/>
  <c r="J11" i="4"/>
  <c r="I11" i="4"/>
  <c r="H11" i="4"/>
  <c r="E11" i="4"/>
  <c r="G11" i="4" s="1"/>
  <c r="B11" i="4"/>
  <c r="D11" i="4" s="1"/>
  <c r="J10" i="4"/>
  <c r="H10" i="4"/>
  <c r="I10" i="4" s="1"/>
  <c r="G10" i="4"/>
  <c r="F10" i="4"/>
  <c r="E10" i="4"/>
  <c r="B10" i="4"/>
  <c r="D10" i="4" s="1"/>
  <c r="H9" i="4"/>
  <c r="J9" i="4" s="1"/>
  <c r="G9" i="4"/>
  <c r="E9" i="4"/>
  <c r="F9" i="4" s="1"/>
  <c r="D9" i="4"/>
  <c r="C9" i="4"/>
  <c r="B9" i="4"/>
  <c r="H8" i="4"/>
  <c r="J8" i="4" s="1"/>
  <c r="E8" i="4"/>
  <c r="G8" i="4" s="1"/>
  <c r="D8" i="4"/>
  <c r="B8" i="4"/>
  <c r="C8" i="4" s="1"/>
  <c r="J7" i="4"/>
  <c r="I7" i="4"/>
  <c r="H7" i="4"/>
  <c r="E7" i="4"/>
  <c r="G7" i="4" s="1"/>
  <c r="B7" i="4"/>
  <c r="D7" i="4" s="1"/>
  <c r="J6" i="4"/>
  <c r="H6" i="4"/>
  <c r="I6" i="4" s="1"/>
  <c r="G6" i="4"/>
  <c r="F6" i="4"/>
  <c r="E6" i="4"/>
  <c r="E18" i="4" s="1"/>
  <c r="B6" i="4"/>
  <c r="B18" i="4" s="1"/>
  <c r="C22" i="3"/>
  <c r="B22" i="3"/>
  <c r="D22" i="3" s="1"/>
  <c r="D21" i="3"/>
  <c r="C21" i="3"/>
  <c r="B21" i="3"/>
  <c r="C20" i="3"/>
  <c r="D20" i="3" s="1"/>
  <c r="B20" i="3"/>
  <c r="C16" i="3"/>
  <c r="B16" i="3"/>
  <c r="D16" i="3" s="1"/>
  <c r="C15" i="3"/>
  <c r="B15" i="3"/>
  <c r="D15" i="3" s="1"/>
  <c r="D14" i="3"/>
  <c r="C14" i="3"/>
  <c r="B14" i="3"/>
  <c r="C13" i="3"/>
  <c r="D13" i="3" s="1"/>
  <c r="B13" i="3"/>
  <c r="C12" i="3"/>
  <c r="B12" i="3"/>
  <c r="D12" i="3" s="1"/>
  <c r="C11" i="3"/>
  <c r="B11" i="3"/>
  <c r="D11" i="3" s="1"/>
  <c r="D10" i="3"/>
  <c r="C10" i="3"/>
  <c r="B10" i="3"/>
  <c r="C9" i="3"/>
  <c r="D9" i="3" s="1"/>
  <c r="B9" i="3"/>
  <c r="C8" i="3"/>
  <c r="B8" i="3"/>
  <c r="D8" i="3" s="1"/>
  <c r="C7" i="3"/>
  <c r="B7" i="3"/>
  <c r="D7" i="3" s="1"/>
  <c r="D6" i="3"/>
  <c r="C6" i="3"/>
  <c r="B6" i="3"/>
  <c r="C5" i="3"/>
  <c r="D5" i="3" s="1"/>
  <c r="B5" i="3"/>
  <c r="M25" i="2"/>
  <c r="L25" i="2"/>
  <c r="K25" i="2"/>
  <c r="J25" i="2"/>
  <c r="I25" i="2"/>
  <c r="H25" i="2"/>
  <c r="G25" i="2"/>
  <c r="F25" i="2"/>
  <c r="E25" i="2"/>
  <c r="D25" i="2"/>
  <c r="C25" i="2"/>
  <c r="B25" i="2"/>
  <c r="K24" i="2"/>
  <c r="G24" i="2"/>
  <c r="C24" i="2"/>
  <c r="K23" i="2"/>
  <c r="G23" i="2"/>
  <c r="C23" i="2"/>
  <c r="K22" i="2"/>
  <c r="G22" i="2"/>
  <c r="C22" i="2"/>
  <c r="M18" i="2"/>
  <c r="K18" i="2" s="1"/>
  <c r="L18" i="2"/>
  <c r="J18" i="2"/>
  <c r="I18" i="2"/>
  <c r="G18" i="2" s="1"/>
  <c r="H18" i="2"/>
  <c r="F18" i="2"/>
  <c r="E18" i="2"/>
  <c r="C18" i="2" s="1"/>
  <c r="D18" i="2"/>
  <c r="B18" i="2"/>
  <c r="K17" i="2"/>
  <c r="G17" i="2"/>
  <c r="C17" i="2"/>
  <c r="K16" i="2"/>
  <c r="G16" i="2"/>
  <c r="C16" i="2"/>
  <c r="K15" i="2"/>
  <c r="G15" i="2"/>
  <c r="C15" i="2"/>
  <c r="K14" i="2"/>
  <c r="G14" i="2"/>
  <c r="C14" i="2"/>
  <c r="K13" i="2"/>
  <c r="G13" i="2"/>
  <c r="C13" i="2"/>
  <c r="K12" i="2"/>
  <c r="G12" i="2"/>
  <c r="C12" i="2"/>
  <c r="K11" i="2"/>
  <c r="G11" i="2"/>
  <c r="C11" i="2"/>
  <c r="K10" i="2"/>
  <c r="G10" i="2"/>
  <c r="C10" i="2"/>
  <c r="K9" i="2"/>
  <c r="G9" i="2"/>
  <c r="C9" i="2"/>
  <c r="K8" i="2"/>
  <c r="G8" i="2"/>
  <c r="C8" i="2"/>
  <c r="K7" i="2"/>
  <c r="G7" i="2"/>
  <c r="C7" i="2"/>
  <c r="K6" i="2"/>
  <c r="G6" i="2"/>
  <c r="C6" i="2"/>
  <c r="F25" i="4" l="1"/>
  <c r="G18" i="4"/>
  <c r="J25" i="4"/>
  <c r="C6" i="4"/>
  <c r="C18" i="4" s="1"/>
  <c r="F7" i="4"/>
  <c r="F18" i="4" s="1"/>
  <c r="I8" i="4"/>
  <c r="C10" i="4"/>
  <c r="F11" i="4"/>
  <c r="I12" i="4"/>
  <c r="C14" i="4"/>
  <c r="F15" i="4"/>
  <c r="I16" i="4"/>
  <c r="F22" i="4"/>
  <c r="I23" i="4"/>
  <c r="I25" i="4" s="1"/>
  <c r="F18" i="5"/>
  <c r="C25" i="5"/>
  <c r="O25" i="5"/>
  <c r="L18" i="6"/>
  <c r="C25" i="6"/>
  <c r="O25" i="6"/>
  <c r="F18" i="7"/>
  <c r="I25" i="7"/>
  <c r="D6" i="4"/>
  <c r="D18" i="4" s="1"/>
  <c r="C7" i="4"/>
  <c r="F8" i="4"/>
  <c r="I9" i="4"/>
  <c r="C11" i="4"/>
  <c r="F12" i="4"/>
  <c r="I13" i="4"/>
  <c r="C15" i="4"/>
  <c r="F16" i="4"/>
  <c r="I17" i="4"/>
  <c r="H18" i="4"/>
  <c r="C22" i="4"/>
  <c r="C25" i="4" s="1"/>
  <c r="G22" i="4"/>
  <c r="G25" i="4" s="1"/>
  <c r="F23" i="4"/>
  <c r="I24" i="4"/>
  <c r="C18" i="5"/>
  <c r="O18" i="5"/>
  <c r="L25" i="5"/>
  <c r="I18" i="6"/>
  <c r="U18" i="6"/>
  <c r="L25" i="6"/>
  <c r="C18" i="7"/>
  <c r="F25" i="7"/>
  <c r="I18" i="4" l="1"/>
  <c r="J18" i="4"/>
</calcChain>
</file>

<file path=xl/sharedStrings.xml><?xml version="1.0" encoding="utf-8"?>
<sst xmlns="http://schemas.openxmlformats.org/spreadsheetml/2006/main" count="1606" uniqueCount="202">
  <si>
    <t>Child Development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</si>
  <si>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</si>
  <si>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</si>
  <si>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</si>
  <si>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</si>
  <si>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</si>
  <si>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</si>
  <si>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</si>
  <si>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</si>
  <si>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</si>
  <si>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</si>
  <si>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</si>
  <si>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</si>
  <si>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</si>
  <si>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</si>
  <si>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</si>
  <si>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</si>
  <si>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</si>
  <si>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</si>
  <si>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</si>
  <si>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</si>
  <si>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</si>
  <si>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</si>
  <si>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</si>
  <si>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</si>
  <si>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</si>
  <si>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</si>
  <si>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</si>
  <si>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</si>
  <si>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</si>
  <si>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</si>
  <si>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</si>
  <si>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</si>
  <si>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</si>
  <si>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</si>
  <si>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</si>
  <si>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</si>
  <si>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</si>
  <si>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</si>
  <si>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</si>
  <si>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</si>
  <si>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</si>
  <si>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</si>
  <si>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</si>
  <si>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</si>
  <si>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</si>
  <si>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</si>
  <si>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</si>
  <si>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</si>
  <si>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</si>
  <si>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</si>
  <si>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</si>
  <si>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</si>
  <si>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</si>
  <si>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</si>
  <si>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</si>
  <si>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</si>
  <si>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</si>
  <si>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</si>
  <si>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</si>
  <si>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</si>
  <si>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</si>
  <si>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</si>
  <si>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</si>
  <si>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</si>
  <si>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</si>
  <si>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</si>
  <si>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</si>
  <si>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</si>
  <si>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</si>
  <si>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</si>
  <si>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</si>
  <si>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</si>
  <si>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</si>
  <si>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</si>
  <si>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</si>
  <si>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</si>
  <si>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</si>
  <si>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</si>
  <si>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</si>
  <si>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</si>
  <si>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</si>
  <si>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</si>
  <si>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</si>
  <si>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</si>
  <si>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</si>
  <si>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</si>
  <si>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</si>
  <si>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</si>
  <si>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</si>
  <si>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</si>
  <si>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</si>
  <si>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</si>
  <si>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</si>
  <si>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</si>
  <si>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</si>
  <si>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</si>
  <si>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</si>
  <si>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</si>
  <si>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</si>
  <si>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</si>
  <si>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</si>
  <si>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</si>
  <si>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</si>
  <si>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</si>
  <si>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</si>
  <si>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</si>
  <si>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</si>
  <si>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</si>
  <si>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</si>
  <si>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</si>
  <si>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</si>
  <si>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CDEV</t>
  </si>
  <si>
    <t>AS</t>
  </si>
  <si>
    <t>CDEV-AS</t>
  </si>
  <si>
    <t>2012-2013</t>
  </si>
  <si>
    <t>2013-2014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</si>
  <si>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</si>
  <si>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</si>
  <si>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</si>
  <si>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</si>
  <si>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</si>
  <si>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</si>
  <si>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</si>
  <si>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</si>
  <si>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</si>
  <si>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</si>
  <si>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</si>
  <si>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</si>
  <si>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</si>
  <si>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</si>
  <si>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</si>
  <si>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</si>
  <si>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</si>
  <si>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</si>
  <si>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</si>
  <si>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</si>
  <si>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</si>
  <si>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</si>
  <si>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</si>
  <si>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</si>
  <si>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CDEV100</t>
  </si>
  <si>
    <t>day</t>
  </si>
  <si>
    <t>ex_day</t>
  </si>
  <si>
    <t>CDEV101</t>
  </si>
  <si>
    <t>CDEV102</t>
  </si>
  <si>
    <t>CDEV103</t>
  </si>
  <si>
    <t>CDEV104</t>
  </si>
  <si>
    <t>online</t>
  </si>
  <si>
    <t>CDEV105</t>
  </si>
  <si>
    <t>CDEV106</t>
  </si>
  <si>
    <t>CDEV107</t>
  </si>
  <si>
    <t>CDEV120</t>
  </si>
  <si>
    <t>CDEV121</t>
  </si>
  <si>
    <t>CDEV122</t>
  </si>
  <si>
    <t>CDEV123</t>
  </si>
  <si>
    <t>CDEV124</t>
  </si>
  <si>
    <t>CDEV125</t>
  </si>
  <si>
    <t>CDEV141</t>
  </si>
  <si>
    <t>CDEV200</t>
  </si>
  <si>
    <t>CDEV220</t>
  </si>
  <si>
    <t>CDEV221</t>
  </si>
  <si>
    <t>CDEV240</t>
  </si>
  <si>
    <t>CDEV241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</si>
  <si>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</si>
  <si>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</si>
  <si>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</si>
  <si>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</si>
  <si>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</si>
  <si>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</si>
  <si>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</si>
  <si>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Miller</t>
  </si>
  <si>
    <t>Sheppard</t>
  </si>
  <si>
    <t>Salgado</t>
  </si>
  <si>
    <t>Short Term</t>
  </si>
  <si>
    <t>Green</t>
  </si>
  <si>
    <t>Richmond</t>
  </si>
  <si>
    <t>CDAT</t>
  </si>
  <si>
    <t>CERT</t>
  </si>
  <si>
    <t>CDAT-CERT</t>
  </si>
  <si>
    <t>Child Developmt Assoc Teacher</t>
  </si>
  <si>
    <t>CDIT</t>
  </si>
  <si>
    <t>CDINTSP-CERT</t>
  </si>
  <si>
    <t>Child Dev Infant/Todlr Special</t>
  </si>
  <si>
    <t>CDSC</t>
  </si>
  <si>
    <t>CDSCHSP-CERT</t>
  </si>
  <si>
    <t>Child Dev School Age Special</t>
  </si>
  <si>
    <t>CDSN</t>
  </si>
  <si>
    <t>CDSN-CERT</t>
  </si>
  <si>
    <t>Child Dev Special Needs</t>
  </si>
  <si>
    <t>ECAT</t>
  </si>
  <si>
    <t>ECEAT-CERT</t>
  </si>
  <si>
    <t>Early Childhood Assoc Teacher</t>
  </si>
  <si>
    <t>ECE</t>
  </si>
  <si>
    <t>ECE-AS</t>
  </si>
  <si>
    <t>Early Childhood Education</t>
  </si>
  <si>
    <t>ECET</t>
  </si>
  <si>
    <t>AS-T</t>
  </si>
  <si>
    <t>ECED-AS-T</t>
  </si>
  <si>
    <t>Early Childhood Ed for Trnsfer</t>
  </si>
  <si>
    <t>AST/IG</t>
  </si>
  <si>
    <t>ECED-AST/IG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</si>
</sst>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Calibri"/>
    </font>
    <font>
      <sz val="48"/>
      <color rgb="FF000000"/>
      <name val="Calibri"/>
      <family val="2"/>
    </font>
    <font>
      <sz val="28"/>
      <color rgb="FF000000"/>
      <name val="Calibri"/>
      <family val="2"/>
    </font>
    <font>
      <sz val="18"/>
      <color rgb="FF000000"/>
      <name val="Calibri"/>
      <family val="2"/>
    </font>
    <font>
      <b/>
      <sz val="10"/>
      <color rgb="FF000000"/>
      <name val="Calibri"/>
      <family val="2"/>
    </font>
    <font>
      <b/>
      <sz val="16"/>
      <color rgb="FFFFFFFF"/>
      <name val="Calibri"/>
      <family val="2"/>
    </font>
    <font>
      <b/>
      <sz val="12"/>
      <color rgb="FFFFFFFF"/>
      <name val="Calibri"/>
      <family val="2"/>
    </font>
    <font>
      <b/>
      <sz val="10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7" fillId="3" borderId="1" xfId="0" applyFont="1" applyFill="1" applyBorder="1"/>
    <xf numFmtId="0" fontId="0" fillId="0" borderId="1" xfId="0" applyBorder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7" fillId="3" borderId="1" xfId="0" applyFont="1" applyFill="1" applyBorder="1" applyAlignment="1">
      <alignment horizontal="left"/>
    </xf>
    <xf numFmtId="0" fontId="0" fillId="4" borderId="1" xfId="0" applyFill="1" applyBorder="1"/>
    <xf numFmtId="10" fontId="0" fillId="4" borderId="1" xfId="0" applyNumberFormat="1" applyFill="1" applyBorder="1"/>
    <xf numFmtId="10" fontId="0" fillId="0" borderId="1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0" fillId="2" borderId="1" xfId="0" applyFill="1" applyBorder="1"/>
    <xf numFmtId="0" fontId="6" fillId="2" borderId="1" xfId="0" applyFont="1" applyFill="1" applyBorder="1"/>
    <xf numFmtId="0" fontId="7" fillId="3" borderId="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5" fillId="5" borderId="1" xfId="0" applyFont="1" applyFill="1" applyBorder="1"/>
    <xf numFmtId="0" fontId="0" fillId="5" borderId="1" xfId="0" applyFill="1" applyBorder="1"/>
    <xf numFmtId="0" fontId="0" fillId="0" borderId="0" xfId="0" applyAlignment="1">
      <alignment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0" fillId="4" borderId="3" xfId="0" applyFill="1" applyBorder="1" applyAlignment="1">
      <alignment horizontal="center"/>
    </xf>
    <xf numFmtId="10" fontId="0" fillId="4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0" fontId="0" fillId="0" borderId="3" xfId="0" applyNumberFormat="1" applyFill="1" applyBorder="1" applyAlignment="1">
      <alignment horizontal="center"/>
    </xf>
  </cellXfs>
  <cellStyles count="1">
    <cellStyle name="Normal" xfId="0" builtinId="0"/>
  </cellStyles>
  <dxfs count="8">
    <dxf>
      <font>
        <b/>
        <color rgb="FF006100"/>
      </font>
      <fill>
        <patternFill patternType="solid">
          <bgColor rgb="FFC6EFCE"/>
        </patternFill>
      </fill>
    </dxf>
    <dxf>
      <font>
        <b/>
        <color rgb="FF9C0006"/>
      </font>
      <fill>
        <patternFill patternType="solid">
          <bgColor rgb="FFFFC7CE"/>
        </patternFill>
      </fill>
    </dxf>
    <dxf>
      <font>
        <b/>
        <color rgb="FF9C0006"/>
      </font>
      <fill>
        <patternFill patternType="solid">
          <bgColor rgb="FFFFC7CE"/>
        </patternFill>
      </fill>
    </dxf>
    <dxf>
      <font>
        <b/>
        <color rgb="FF9C0006"/>
      </font>
      <fill>
        <patternFill patternType="solid">
          <bgColor rgb="FFFFC7CE"/>
        </patternFill>
      </fill>
    </dxf>
    <dxf>
      <font>
        <b/>
        <color rgb="FF006100"/>
      </font>
      <fill>
        <patternFill patternType="solid">
          <bgColor rgb="FFC6EFCE"/>
        </patternFill>
      </fill>
    </dxf>
    <dxf>
      <font>
        <b/>
        <color rgb="FF9C0006"/>
      </font>
      <fill>
        <patternFill patternType="solid">
          <bgColor rgb="FFFFC7CE"/>
        </patternFill>
      </fill>
    </dxf>
    <dxf>
      <font>
        <b/>
        <color rgb="FF9C0006"/>
      </font>
      <fill>
        <patternFill patternType="solid">
          <bgColor rgb="FFFFC7CE"/>
        </patternFill>
      </fill>
    </dxf>
    <dxf>
      <font>
        <b/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2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workbookViewId="0">
      <selection activeCell="A21" sqref="A21:O21"/>
    </sheetView>
  </sheetViews>
  <sheetFormatPr defaultRowHeight="12.75" x14ac:dyDescent="0.2"/>
  <sheetData>
    <row r="1" spans="1:15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61.5" x14ac:dyDescent="0.9">
      <c r="A16" s="19" t="s">
        <v>0</v>
      </c>
      <c r="B16" s="19"/>
      <c r="C16" s="19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15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5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 ht="36" x14ac:dyDescent="0.55000000000000004">
      <c r="A19" s="20" t="s">
        <v>1</v>
      </c>
      <c r="B19" s="20"/>
      <c r="C19" s="20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1:15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5" ht="36" x14ac:dyDescent="0.55000000000000004">
      <c r="A21" s="20" t="s">
        <v>2</v>
      </c>
      <c r="B21" s="20"/>
      <c r="C21" s="2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5" ht="23.25" x14ac:dyDescent="0.35">
      <c r="A23" s="21" t="s">
        <v>3</v>
      </c>
      <c r="B23" s="21"/>
      <c r="C23" s="21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5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5" x14ac:dyDescent="0.2">
      <c r="A25" s="18" t="s">
        <v>4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x14ac:dyDescent="0.2">
      <c r="A26" s="22" t="s">
        <v>5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5" x14ac:dyDescent="0.2">
      <c r="A29" s="18" t="s">
        <v>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1:15" x14ac:dyDescent="0.2">
      <c r="A30" s="18" t="s">
        <v>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</sheetData>
  <sheetProtection formatCells="0" formatColumns="0" formatRows="0" insertColumns="0" insertRows="0" insertHyperlinks="0" deleteColumns="0" deleteRows="0" sort="0" autoFilter="0" pivotTables="0"/>
  <mergeCells count="30">
    <mergeCell ref="A26:O26"/>
    <mergeCell ref="A27:O27"/>
    <mergeCell ref="A28:O28"/>
    <mergeCell ref="A29:O29"/>
    <mergeCell ref="A30:O30"/>
    <mergeCell ref="A21:O21"/>
    <mergeCell ref="A22:O22"/>
    <mergeCell ref="A23:O23"/>
    <mergeCell ref="A24:O24"/>
    <mergeCell ref="A25:O25"/>
    <mergeCell ref="A16:O16"/>
    <mergeCell ref="A17:O17"/>
    <mergeCell ref="A18:O18"/>
    <mergeCell ref="A19:O19"/>
    <mergeCell ref="A20:O20"/>
    <mergeCell ref="A11:O11"/>
    <mergeCell ref="A12:O12"/>
    <mergeCell ref="A13:O13"/>
    <mergeCell ref="A14:O14"/>
    <mergeCell ref="A15:O15"/>
    <mergeCell ref="A6:O6"/>
    <mergeCell ref="A7:O7"/>
    <mergeCell ref="A8:O8"/>
    <mergeCell ref="A9:O9"/>
    <mergeCell ref="A10:O10"/>
    <mergeCell ref="A1:O1"/>
    <mergeCell ref="A2:O2"/>
    <mergeCell ref="A3:O3"/>
    <mergeCell ref="A4:O4"/>
    <mergeCell ref="A5:O5"/>
  </mergeCells>
  <pageMargins left="0.4" right="0.4" top="0.6" bottom="0.6" header="0.3" footer="0.3"/>
  <pageSetup orientation="landscape"/>
  <headerFooter>
    <oddHeader>&amp;L&amp;B2017-2018 IVC Research Report for CDEV&amp;RPrinted on &amp;D</oddHeader>
    <oddFooter>&amp;L&amp;BGenerated By: Office of Institutional Research&amp;RPage &amp;P of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4"/>
  <sheetViews>
    <sheetView topLeftCell="A4" workbookViewId="0">
      <selection activeCell="V83" sqref="V83"/>
    </sheetView>
  </sheetViews>
  <sheetFormatPr defaultRowHeight="12.75" x14ac:dyDescent="0.2"/>
  <cols>
    <col min="1" max="1" width="15" customWidth="1"/>
    <col min="2" max="2" width="14" hidden="1" customWidth="1"/>
    <col min="3" max="3" width="12" customWidth="1"/>
    <col min="4" max="5" width="8" customWidth="1"/>
    <col min="6" max="9" width="10" customWidth="1"/>
    <col min="10" max="10" width="8" customWidth="1"/>
    <col min="11" max="13" width="10" customWidth="1"/>
    <col min="14" max="14" width="11" customWidth="1"/>
    <col min="15" max="16" width="8" customWidth="1"/>
    <col min="17" max="17" width="15" customWidth="1"/>
    <col min="18" max="18" width="12" customWidth="1"/>
    <col min="19" max="19" width="15" customWidth="1"/>
  </cols>
  <sheetData>
    <row r="1" spans="1:19" ht="21" x14ac:dyDescent="0.35">
      <c r="A1" s="23" t="s">
        <v>164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15.75" x14ac:dyDescent="0.25">
      <c r="A2" s="25" t="s">
        <v>165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15.75" x14ac:dyDescent="0.25">
      <c r="A3" s="25" t="s">
        <v>123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5" spans="1:19" x14ac:dyDescent="0.2">
      <c r="A5" s="14" t="s">
        <v>105</v>
      </c>
      <c r="B5" s="10" t="s">
        <v>124</v>
      </c>
      <c r="C5" s="14" t="s">
        <v>125</v>
      </c>
      <c r="D5" s="14" t="s">
        <v>166</v>
      </c>
      <c r="E5" s="10" t="s">
        <v>126</v>
      </c>
      <c r="F5" s="10" t="s">
        <v>127</v>
      </c>
      <c r="G5" s="10" t="s">
        <v>128</v>
      </c>
      <c r="H5" s="10" t="s">
        <v>167</v>
      </c>
      <c r="I5" s="10" t="s">
        <v>168</v>
      </c>
      <c r="J5" s="14" t="s">
        <v>130</v>
      </c>
      <c r="K5" s="14" t="s">
        <v>131</v>
      </c>
      <c r="L5" s="14" t="s">
        <v>132</v>
      </c>
      <c r="M5" s="14" t="s">
        <v>134</v>
      </c>
      <c r="N5" s="14" t="s">
        <v>136</v>
      </c>
      <c r="O5" s="14" t="s">
        <v>169</v>
      </c>
      <c r="P5" s="14" t="s">
        <v>137</v>
      </c>
      <c r="Q5" s="14" t="s">
        <v>55</v>
      </c>
      <c r="R5" s="14" t="s">
        <v>138</v>
      </c>
      <c r="S5" s="14" t="s">
        <v>139</v>
      </c>
    </row>
    <row r="6" spans="1:19" x14ac:dyDescent="0.2">
      <c r="A6" s="15" t="s">
        <v>57</v>
      </c>
      <c r="B6" s="15" t="s">
        <v>18</v>
      </c>
      <c r="C6" s="15">
        <v>201510</v>
      </c>
      <c r="D6" s="15">
        <v>10288</v>
      </c>
      <c r="E6" s="15" t="s">
        <v>112</v>
      </c>
      <c r="F6" s="15" t="s">
        <v>141</v>
      </c>
      <c r="G6" s="15" t="s">
        <v>142</v>
      </c>
      <c r="H6" s="15" t="s">
        <v>170</v>
      </c>
      <c r="I6" s="15" t="s">
        <v>171</v>
      </c>
      <c r="J6" s="15">
        <v>16</v>
      </c>
      <c r="K6" s="15">
        <v>23</v>
      </c>
      <c r="L6" s="15">
        <v>36</v>
      </c>
      <c r="M6" s="16">
        <v>0.44444</v>
      </c>
      <c r="N6" s="16">
        <v>0.63888999999999996</v>
      </c>
      <c r="O6" s="15">
        <v>1.39</v>
      </c>
      <c r="P6" s="15">
        <v>3.375</v>
      </c>
      <c r="Q6" s="15">
        <v>0.2</v>
      </c>
      <c r="R6" s="15">
        <v>607.5</v>
      </c>
      <c r="S6" s="15">
        <v>3.73</v>
      </c>
    </row>
    <row r="7" spans="1:19" x14ac:dyDescent="0.2">
      <c r="A7" s="11" t="s">
        <v>57</v>
      </c>
      <c r="B7" s="11" t="s">
        <v>18</v>
      </c>
      <c r="C7" s="11">
        <v>201510</v>
      </c>
      <c r="D7" s="11">
        <v>10289</v>
      </c>
      <c r="E7" s="11" t="s">
        <v>112</v>
      </c>
      <c r="F7" s="11" t="s">
        <v>141</v>
      </c>
      <c r="G7" s="11" t="s">
        <v>143</v>
      </c>
      <c r="H7" s="11" t="s">
        <v>170</v>
      </c>
      <c r="I7" s="11" t="s">
        <v>171</v>
      </c>
      <c r="J7" s="11">
        <v>15</v>
      </c>
      <c r="K7" s="11">
        <v>18</v>
      </c>
      <c r="L7" s="11">
        <v>26</v>
      </c>
      <c r="M7" s="17">
        <v>0.57691999999999999</v>
      </c>
      <c r="N7" s="17">
        <v>0.69230999999999998</v>
      </c>
      <c r="O7" s="11">
        <v>1.88</v>
      </c>
      <c r="P7" s="11">
        <v>3.375</v>
      </c>
      <c r="Q7" s="11">
        <v>0.2</v>
      </c>
      <c r="R7" s="11">
        <v>438.75</v>
      </c>
      <c r="S7" s="11">
        <v>2.69</v>
      </c>
    </row>
    <row r="8" spans="1:19" x14ac:dyDescent="0.2">
      <c r="A8" s="15" t="s">
        <v>57</v>
      </c>
      <c r="B8" s="15" t="s">
        <v>20</v>
      </c>
      <c r="C8" s="15">
        <v>201520</v>
      </c>
      <c r="D8" s="15">
        <v>20050</v>
      </c>
      <c r="E8" s="15" t="s">
        <v>112</v>
      </c>
      <c r="F8" s="15" t="s">
        <v>141</v>
      </c>
      <c r="G8" s="15" t="s">
        <v>142</v>
      </c>
      <c r="H8" s="15" t="s">
        <v>170</v>
      </c>
      <c r="I8" s="15" t="s">
        <v>171</v>
      </c>
      <c r="J8" s="15">
        <v>16</v>
      </c>
      <c r="K8" s="15">
        <v>25</v>
      </c>
      <c r="L8" s="15">
        <v>31</v>
      </c>
      <c r="M8" s="16">
        <v>0.51612999999999998</v>
      </c>
      <c r="N8" s="16">
        <v>0.80645</v>
      </c>
      <c r="O8" s="15">
        <v>1.55</v>
      </c>
      <c r="P8" s="15">
        <v>3.375</v>
      </c>
      <c r="Q8" s="15">
        <v>0.2</v>
      </c>
      <c r="R8" s="15">
        <v>523.13</v>
      </c>
      <c r="S8" s="15">
        <v>3.21</v>
      </c>
    </row>
    <row r="9" spans="1:19" x14ac:dyDescent="0.2">
      <c r="A9" s="11" t="s">
        <v>57</v>
      </c>
      <c r="B9" s="11" t="s">
        <v>20</v>
      </c>
      <c r="C9" s="11">
        <v>201520</v>
      </c>
      <c r="D9" s="11">
        <v>20052</v>
      </c>
      <c r="E9" s="11" t="s">
        <v>112</v>
      </c>
      <c r="F9" s="11" t="s">
        <v>141</v>
      </c>
      <c r="G9" s="11" t="s">
        <v>143</v>
      </c>
      <c r="H9" s="11" t="s">
        <v>170</v>
      </c>
      <c r="I9" s="11" t="s">
        <v>171</v>
      </c>
      <c r="J9" s="11">
        <v>16</v>
      </c>
      <c r="K9" s="11">
        <v>19</v>
      </c>
      <c r="L9" s="11">
        <v>24</v>
      </c>
      <c r="M9" s="17">
        <v>0.66666999999999998</v>
      </c>
      <c r="N9" s="17">
        <v>0.79166999999999998</v>
      </c>
      <c r="O9" s="11">
        <v>1.88</v>
      </c>
      <c r="P9" s="11">
        <v>3.375</v>
      </c>
      <c r="Q9" s="11">
        <v>0.2</v>
      </c>
      <c r="R9" s="11">
        <v>405</v>
      </c>
      <c r="S9" s="11">
        <v>2.4900000000000002</v>
      </c>
    </row>
    <row r="10" spans="1:19" x14ac:dyDescent="0.2">
      <c r="A10" s="15" t="s">
        <v>58</v>
      </c>
      <c r="B10" s="15" t="s">
        <v>22</v>
      </c>
      <c r="C10" s="15">
        <v>201610</v>
      </c>
      <c r="D10" s="15">
        <v>10660</v>
      </c>
      <c r="E10" s="15" t="s">
        <v>112</v>
      </c>
      <c r="F10" s="15" t="s">
        <v>141</v>
      </c>
      <c r="G10" s="15" t="s">
        <v>142</v>
      </c>
      <c r="H10" s="15" t="s">
        <v>170</v>
      </c>
      <c r="I10" s="15" t="s">
        <v>171</v>
      </c>
      <c r="J10" s="15">
        <v>18</v>
      </c>
      <c r="K10" s="15">
        <v>26</v>
      </c>
      <c r="L10" s="15">
        <v>35</v>
      </c>
      <c r="M10" s="16">
        <v>0.51429000000000002</v>
      </c>
      <c r="N10" s="16">
        <v>0.74285999999999996</v>
      </c>
      <c r="O10" s="15">
        <v>1.34</v>
      </c>
      <c r="P10" s="15">
        <v>3.375</v>
      </c>
      <c r="Q10" s="15">
        <v>0.2</v>
      </c>
      <c r="R10" s="15">
        <v>590.63</v>
      </c>
      <c r="S10" s="15">
        <v>3.63</v>
      </c>
    </row>
    <row r="11" spans="1:19" x14ac:dyDescent="0.2">
      <c r="A11" s="11" t="s">
        <v>58</v>
      </c>
      <c r="B11" s="11" t="s">
        <v>22</v>
      </c>
      <c r="C11" s="11">
        <v>201610</v>
      </c>
      <c r="D11" s="11">
        <v>10666</v>
      </c>
      <c r="E11" s="11" t="s">
        <v>112</v>
      </c>
      <c r="F11" s="11" t="s">
        <v>141</v>
      </c>
      <c r="G11" s="11" t="s">
        <v>143</v>
      </c>
      <c r="H11" s="11" t="s">
        <v>170</v>
      </c>
      <c r="I11" s="11" t="s">
        <v>171</v>
      </c>
      <c r="J11" s="11">
        <v>11</v>
      </c>
      <c r="K11" s="11">
        <v>15</v>
      </c>
      <c r="L11" s="11">
        <v>21</v>
      </c>
      <c r="M11" s="17">
        <v>0.52381</v>
      </c>
      <c r="N11" s="17">
        <v>0.71428999999999998</v>
      </c>
      <c r="O11" s="11">
        <v>1.33</v>
      </c>
      <c r="P11" s="11">
        <v>3.375</v>
      </c>
      <c r="Q11" s="11">
        <v>0.2</v>
      </c>
      <c r="R11" s="11">
        <v>354.38</v>
      </c>
      <c r="S11" s="11">
        <v>2.1800000000000002</v>
      </c>
    </row>
    <row r="12" spans="1:19" x14ac:dyDescent="0.2">
      <c r="A12" s="15" t="s">
        <v>58</v>
      </c>
      <c r="B12" s="15" t="s">
        <v>24</v>
      </c>
      <c r="C12" s="15">
        <v>201620</v>
      </c>
      <c r="D12" s="15">
        <v>20656</v>
      </c>
      <c r="E12" s="15" t="s">
        <v>112</v>
      </c>
      <c r="F12" s="15" t="s">
        <v>141</v>
      </c>
      <c r="G12" s="15" t="s">
        <v>142</v>
      </c>
      <c r="H12" s="15" t="s">
        <v>170</v>
      </c>
      <c r="I12" s="15" t="s">
        <v>171</v>
      </c>
      <c r="J12" s="15">
        <v>15</v>
      </c>
      <c r="K12" s="15">
        <v>24</v>
      </c>
      <c r="L12" s="15">
        <v>32</v>
      </c>
      <c r="M12" s="16">
        <v>0.46875</v>
      </c>
      <c r="N12" s="16">
        <v>0.75</v>
      </c>
      <c r="O12" s="15">
        <v>1.38</v>
      </c>
      <c r="P12" s="15">
        <v>3.375</v>
      </c>
      <c r="Q12" s="15">
        <v>0.2</v>
      </c>
      <c r="R12" s="15">
        <v>540</v>
      </c>
      <c r="S12" s="15">
        <v>3.32</v>
      </c>
    </row>
    <row r="13" spans="1:19" x14ac:dyDescent="0.2">
      <c r="A13" s="11" t="s">
        <v>58</v>
      </c>
      <c r="B13" s="11" t="s">
        <v>24</v>
      </c>
      <c r="C13" s="11">
        <v>201620</v>
      </c>
      <c r="D13" s="11">
        <v>20662</v>
      </c>
      <c r="E13" s="11" t="s">
        <v>112</v>
      </c>
      <c r="F13" s="11" t="s">
        <v>141</v>
      </c>
      <c r="G13" s="11" t="s">
        <v>142</v>
      </c>
      <c r="H13" s="11" t="s">
        <v>170</v>
      </c>
      <c r="I13" s="11" t="s">
        <v>171</v>
      </c>
      <c r="J13" s="11">
        <v>12</v>
      </c>
      <c r="K13" s="11">
        <v>23</v>
      </c>
      <c r="L13" s="11">
        <v>28</v>
      </c>
      <c r="M13" s="17">
        <v>0.42857000000000001</v>
      </c>
      <c r="N13" s="17">
        <v>0.82142999999999999</v>
      </c>
      <c r="O13" s="11">
        <v>1.43</v>
      </c>
      <c r="P13" s="11">
        <v>3.375</v>
      </c>
      <c r="Q13" s="11">
        <v>0.2</v>
      </c>
      <c r="R13" s="11">
        <v>472.5</v>
      </c>
      <c r="S13" s="11">
        <v>2.9</v>
      </c>
    </row>
    <row r="14" spans="1:19" x14ac:dyDescent="0.2">
      <c r="A14" s="15" t="s">
        <v>59</v>
      </c>
      <c r="B14" s="15" t="s">
        <v>26</v>
      </c>
      <c r="C14" s="15">
        <v>201710</v>
      </c>
      <c r="D14" s="15">
        <v>10660</v>
      </c>
      <c r="E14" s="15" t="s">
        <v>112</v>
      </c>
      <c r="F14" s="15" t="s">
        <v>141</v>
      </c>
      <c r="G14" s="15" t="s">
        <v>142</v>
      </c>
      <c r="H14" s="15" t="s">
        <v>170</v>
      </c>
      <c r="I14" s="15" t="s">
        <v>172</v>
      </c>
      <c r="J14" s="15">
        <v>37</v>
      </c>
      <c r="K14" s="15">
        <v>39</v>
      </c>
      <c r="L14" s="15">
        <v>39</v>
      </c>
      <c r="M14" s="16">
        <v>0.94872000000000001</v>
      </c>
      <c r="N14" s="16">
        <v>1</v>
      </c>
      <c r="O14" s="15">
        <v>2.97</v>
      </c>
      <c r="P14" s="15">
        <v>3.375</v>
      </c>
      <c r="Q14" s="15">
        <v>0.2</v>
      </c>
      <c r="R14" s="15">
        <v>658.13</v>
      </c>
      <c r="S14" s="15">
        <v>4.04</v>
      </c>
    </row>
    <row r="15" spans="1:19" x14ac:dyDescent="0.2">
      <c r="A15" s="11" t="s">
        <v>59</v>
      </c>
      <c r="B15" s="11" t="s">
        <v>28</v>
      </c>
      <c r="C15" s="11">
        <v>201720</v>
      </c>
      <c r="D15" s="11">
        <v>20656</v>
      </c>
      <c r="E15" s="11" t="s">
        <v>112</v>
      </c>
      <c r="F15" s="11" t="s">
        <v>141</v>
      </c>
      <c r="G15" s="11" t="s">
        <v>142</v>
      </c>
      <c r="H15" s="11" t="s">
        <v>170</v>
      </c>
      <c r="I15" s="11" t="s">
        <v>172</v>
      </c>
      <c r="J15" s="11">
        <v>39</v>
      </c>
      <c r="K15" s="11">
        <v>40</v>
      </c>
      <c r="L15" s="11">
        <v>41</v>
      </c>
      <c r="M15" s="17">
        <v>0.95121999999999995</v>
      </c>
      <c r="N15" s="17">
        <v>0.97560999999999998</v>
      </c>
      <c r="O15" s="11">
        <v>2.85</v>
      </c>
      <c r="P15" s="11">
        <v>3.375</v>
      </c>
      <c r="Q15" s="11">
        <v>0.2</v>
      </c>
      <c r="R15" s="11">
        <v>691.88</v>
      </c>
      <c r="S15" s="11">
        <v>4.25</v>
      </c>
    </row>
    <row r="16" spans="1:19" x14ac:dyDescent="0.2">
      <c r="A16" s="15" t="s">
        <v>59</v>
      </c>
      <c r="B16" s="15" t="s">
        <v>28</v>
      </c>
      <c r="C16" s="15">
        <v>201720</v>
      </c>
      <c r="D16" s="15">
        <v>20662</v>
      </c>
      <c r="E16" s="15" t="s">
        <v>112</v>
      </c>
      <c r="F16" s="15" t="s">
        <v>141</v>
      </c>
      <c r="G16" s="15" t="s">
        <v>143</v>
      </c>
      <c r="H16" s="15" t="s">
        <v>170</v>
      </c>
      <c r="I16" s="15" t="s">
        <v>172</v>
      </c>
      <c r="J16" s="15">
        <v>28</v>
      </c>
      <c r="K16" s="15">
        <v>31</v>
      </c>
      <c r="L16" s="15">
        <v>35</v>
      </c>
      <c r="M16" s="16">
        <v>0.8</v>
      </c>
      <c r="N16" s="16">
        <v>0.88571</v>
      </c>
      <c r="O16" s="15">
        <v>2.74</v>
      </c>
      <c r="P16" s="15">
        <v>3.375</v>
      </c>
      <c r="Q16" s="15">
        <v>0.2</v>
      </c>
      <c r="R16" s="15">
        <v>590.63</v>
      </c>
      <c r="S16" s="15">
        <v>3.63</v>
      </c>
    </row>
    <row r="17" spans="1:19" x14ac:dyDescent="0.2">
      <c r="A17" s="11" t="s">
        <v>57</v>
      </c>
      <c r="B17" s="11" t="s">
        <v>18</v>
      </c>
      <c r="C17" s="11">
        <v>201510</v>
      </c>
      <c r="D17" s="11">
        <v>10290</v>
      </c>
      <c r="E17" s="11" t="s">
        <v>112</v>
      </c>
      <c r="F17" s="11" t="s">
        <v>144</v>
      </c>
      <c r="G17" s="11" t="s">
        <v>142</v>
      </c>
      <c r="H17" s="11" t="s">
        <v>170</v>
      </c>
      <c r="I17" s="11" t="s">
        <v>172</v>
      </c>
      <c r="J17" s="11">
        <v>31</v>
      </c>
      <c r="K17" s="11">
        <v>34</v>
      </c>
      <c r="L17" s="11">
        <v>35</v>
      </c>
      <c r="M17" s="17">
        <v>0.88571</v>
      </c>
      <c r="N17" s="17">
        <v>0.97143000000000002</v>
      </c>
      <c r="O17" s="11">
        <v>2.54</v>
      </c>
      <c r="P17" s="11">
        <v>3.375</v>
      </c>
      <c r="Q17" s="11">
        <v>0.2</v>
      </c>
      <c r="R17" s="11">
        <v>590.63</v>
      </c>
      <c r="S17" s="11">
        <v>3.63</v>
      </c>
    </row>
    <row r="18" spans="1:19" x14ac:dyDescent="0.2">
      <c r="A18" s="15" t="s">
        <v>57</v>
      </c>
      <c r="B18" s="15" t="s">
        <v>18</v>
      </c>
      <c r="C18" s="15">
        <v>201510</v>
      </c>
      <c r="D18" s="15">
        <v>10291</v>
      </c>
      <c r="E18" s="15" t="s">
        <v>112</v>
      </c>
      <c r="F18" s="15" t="s">
        <v>144</v>
      </c>
      <c r="G18" s="15" t="s">
        <v>143</v>
      </c>
      <c r="H18" s="15" t="s">
        <v>170</v>
      </c>
      <c r="I18" s="15" t="s">
        <v>172</v>
      </c>
      <c r="J18" s="15">
        <v>24</v>
      </c>
      <c r="K18" s="15">
        <v>27</v>
      </c>
      <c r="L18" s="15">
        <v>33</v>
      </c>
      <c r="M18" s="16">
        <v>0.72726999999999997</v>
      </c>
      <c r="N18" s="16">
        <v>0.81818000000000002</v>
      </c>
      <c r="O18" s="15">
        <v>2.15</v>
      </c>
      <c r="P18" s="15">
        <v>3.375</v>
      </c>
      <c r="Q18" s="15">
        <v>0.2</v>
      </c>
      <c r="R18" s="15">
        <v>556.88</v>
      </c>
      <c r="S18" s="15">
        <v>3.42</v>
      </c>
    </row>
    <row r="19" spans="1:19" x14ac:dyDescent="0.2">
      <c r="A19" s="11" t="s">
        <v>57</v>
      </c>
      <c r="B19" s="11" t="s">
        <v>20</v>
      </c>
      <c r="C19" s="11">
        <v>201520</v>
      </c>
      <c r="D19" s="11">
        <v>20057</v>
      </c>
      <c r="E19" s="11" t="s">
        <v>112</v>
      </c>
      <c r="F19" s="11" t="s">
        <v>144</v>
      </c>
      <c r="G19" s="11" t="s">
        <v>143</v>
      </c>
      <c r="H19" s="11" t="s">
        <v>170</v>
      </c>
      <c r="I19" s="11" t="s">
        <v>172</v>
      </c>
      <c r="J19" s="11">
        <v>18</v>
      </c>
      <c r="K19" s="11">
        <v>21</v>
      </c>
      <c r="L19" s="11">
        <v>27</v>
      </c>
      <c r="M19" s="17">
        <v>0.66666999999999998</v>
      </c>
      <c r="N19" s="17">
        <v>0.77778000000000003</v>
      </c>
      <c r="O19" s="11">
        <v>1.78</v>
      </c>
      <c r="P19" s="11">
        <v>3.375</v>
      </c>
      <c r="Q19" s="11">
        <v>0.2</v>
      </c>
      <c r="R19" s="11">
        <v>455.63</v>
      </c>
      <c r="S19" s="11">
        <v>2.8</v>
      </c>
    </row>
    <row r="20" spans="1:19" x14ac:dyDescent="0.2">
      <c r="A20" s="15" t="s">
        <v>57</v>
      </c>
      <c r="B20" s="15" t="s">
        <v>20</v>
      </c>
      <c r="C20" s="15">
        <v>201520</v>
      </c>
      <c r="D20" s="15">
        <v>20859</v>
      </c>
      <c r="E20" s="15" t="s">
        <v>112</v>
      </c>
      <c r="F20" s="15" t="s">
        <v>144</v>
      </c>
      <c r="G20" s="15" t="s">
        <v>142</v>
      </c>
      <c r="H20" s="15" t="s">
        <v>170</v>
      </c>
      <c r="I20" s="15" t="s">
        <v>172</v>
      </c>
      <c r="J20" s="15">
        <v>29</v>
      </c>
      <c r="K20" s="15">
        <v>34</v>
      </c>
      <c r="L20" s="15">
        <v>37</v>
      </c>
      <c r="M20" s="16">
        <v>0.78378000000000003</v>
      </c>
      <c r="N20" s="16">
        <v>0.91891999999999996</v>
      </c>
      <c r="O20" s="15">
        <v>2.2999999999999998</v>
      </c>
      <c r="P20" s="15">
        <v>3.375</v>
      </c>
      <c r="Q20" s="15">
        <v>0.2</v>
      </c>
      <c r="R20" s="15">
        <v>624.38</v>
      </c>
      <c r="S20" s="15">
        <v>3.83</v>
      </c>
    </row>
    <row r="21" spans="1:19" x14ac:dyDescent="0.2">
      <c r="A21" s="11" t="s">
        <v>58</v>
      </c>
      <c r="B21" s="11" t="s">
        <v>22</v>
      </c>
      <c r="C21" s="11">
        <v>201610</v>
      </c>
      <c r="D21" s="11">
        <v>10661</v>
      </c>
      <c r="E21" s="11" t="s">
        <v>112</v>
      </c>
      <c r="F21" s="11" t="s">
        <v>144</v>
      </c>
      <c r="G21" s="11" t="s">
        <v>142</v>
      </c>
      <c r="H21" s="11" t="s">
        <v>170</v>
      </c>
      <c r="I21" s="11" t="s">
        <v>171</v>
      </c>
      <c r="J21" s="11">
        <v>20</v>
      </c>
      <c r="K21" s="11">
        <v>29</v>
      </c>
      <c r="L21" s="11">
        <v>34</v>
      </c>
      <c r="M21" s="17">
        <v>0.58823999999999999</v>
      </c>
      <c r="N21" s="17">
        <v>0.85294000000000003</v>
      </c>
      <c r="O21" s="11">
        <v>1.47</v>
      </c>
      <c r="P21" s="11">
        <v>3.375</v>
      </c>
      <c r="Q21" s="11">
        <v>0.2</v>
      </c>
      <c r="R21" s="11">
        <v>573.75</v>
      </c>
      <c r="S21" s="11">
        <v>3.52</v>
      </c>
    </row>
    <row r="22" spans="1:19" x14ac:dyDescent="0.2">
      <c r="A22" s="15" t="s">
        <v>58</v>
      </c>
      <c r="B22" s="15" t="s">
        <v>24</v>
      </c>
      <c r="C22" s="15">
        <v>201620</v>
      </c>
      <c r="D22" s="15">
        <v>20657</v>
      </c>
      <c r="E22" s="15" t="s">
        <v>112</v>
      </c>
      <c r="F22" s="15" t="s">
        <v>144</v>
      </c>
      <c r="G22" s="15" t="s">
        <v>142</v>
      </c>
      <c r="H22" s="15" t="s">
        <v>170</v>
      </c>
      <c r="I22" s="15" t="s">
        <v>171</v>
      </c>
      <c r="J22" s="15">
        <v>26</v>
      </c>
      <c r="K22" s="15">
        <v>34</v>
      </c>
      <c r="L22" s="15">
        <v>36</v>
      </c>
      <c r="M22" s="16">
        <v>0.72221999999999997</v>
      </c>
      <c r="N22" s="16">
        <v>0.94443999999999995</v>
      </c>
      <c r="O22" s="15">
        <v>1.86</v>
      </c>
      <c r="P22" s="15">
        <v>3.375</v>
      </c>
      <c r="Q22" s="15">
        <v>0.2</v>
      </c>
      <c r="R22" s="15">
        <v>607.5</v>
      </c>
      <c r="S22" s="15">
        <v>3.73</v>
      </c>
    </row>
    <row r="23" spans="1:19" x14ac:dyDescent="0.2">
      <c r="A23" s="11" t="s">
        <v>59</v>
      </c>
      <c r="B23" s="11" t="s">
        <v>26</v>
      </c>
      <c r="C23" s="11">
        <v>201710</v>
      </c>
      <c r="D23" s="11">
        <v>10661</v>
      </c>
      <c r="E23" s="11" t="s">
        <v>112</v>
      </c>
      <c r="F23" s="11" t="s">
        <v>144</v>
      </c>
      <c r="G23" s="11" t="s">
        <v>142</v>
      </c>
      <c r="H23" s="11" t="s">
        <v>170</v>
      </c>
      <c r="I23" s="11" t="s">
        <v>172</v>
      </c>
      <c r="J23" s="11">
        <v>41</v>
      </c>
      <c r="K23" s="11">
        <v>43</v>
      </c>
      <c r="L23" s="11">
        <v>45</v>
      </c>
      <c r="M23" s="17">
        <v>0.91110999999999998</v>
      </c>
      <c r="N23" s="17">
        <v>0.95555999999999996</v>
      </c>
      <c r="O23" s="11">
        <v>2.71</v>
      </c>
      <c r="P23" s="11">
        <v>3.375</v>
      </c>
      <c r="Q23" s="11">
        <v>0.27</v>
      </c>
      <c r="R23" s="11">
        <v>562.5</v>
      </c>
      <c r="S23" s="11">
        <v>4.66</v>
      </c>
    </row>
    <row r="24" spans="1:19" x14ac:dyDescent="0.2">
      <c r="A24" s="15" t="s">
        <v>59</v>
      </c>
      <c r="B24" s="15" t="s">
        <v>26</v>
      </c>
      <c r="C24" s="15">
        <v>201710</v>
      </c>
      <c r="D24" s="15">
        <v>11057</v>
      </c>
      <c r="E24" s="15" t="s">
        <v>112</v>
      </c>
      <c r="F24" s="15" t="s">
        <v>144</v>
      </c>
      <c r="G24" s="15" t="s">
        <v>143</v>
      </c>
      <c r="H24" s="15" t="s">
        <v>170</v>
      </c>
      <c r="I24" s="15" t="s">
        <v>172</v>
      </c>
      <c r="J24" s="15">
        <v>33</v>
      </c>
      <c r="K24" s="15">
        <v>34</v>
      </c>
      <c r="L24" s="15">
        <v>37</v>
      </c>
      <c r="M24" s="16">
        <v>0.89188999999999996</v>
      </c>
      <c r="N24" s="16">
        <v>0.91891999999999996</v>
      </c>
      <c r="O24" s="15">
        <v>2.73</v>
      </c>
      <c r="P24" s="15">
        <v>3.375</v>
      </c>
      <c r="Q24" s="15">
        <v>0.2</v>
      </c>
      <c r="R24" s="15">
        <v>624.38</v>
      </c>
      <c r="S24" s="15">
        <v>3.83</v>
      </c>
    </row>
    <row r="25" spans="1:19" x14ac:dyDescent="0.2">
      <c r="A25" s="11" t="s">
        <v>59</v>
      </c>
      <c r="B25" s="11" t="s">
        <v>28</v>
      </c>
      <c r="C25" s="11">
        <v>201720</v>
      </c>
      <c r="D25" s="11">
        <v>20657</v>
      </c>
      <c r="E25" s="11" t="s">
        <v>112</v>
      </c>
      <c r="F25" s="11" t="s">
        <v>144</v>
      </c>
      <c r="G25" s="11" t="s">
        <v>143</v>
      </c>
      <c r="H25" s="11" t="s">
        <v>170</v>
      </c>
      <c r="I25" s="11" t="s">
        <v>173</v>
      </c>
      <c r="J25" s="11">
        <v>28</v>
      </c>
      <c r="K25" s="11">
        <v>31</v>
      </c>
      <c r="L25" s="11">
        <v>31</v>
      </c>
      <c r="M25" s="17">
        <v>0.90322999999999998</v>
      </c>
      <c r="N25" s="17">
        <v>1</v>
      </c>
      <c r="O25" s="11">
        <v>2.5499999999999998</v>
      </c>
      <c r="P25" s="11">
        <v>3.375</v>
      </c>
      <c r="Q25" s="11">
        <v>0.2</v>
      </c>
      <c r="R25" s="11">
        <v>523.13</v>
      </c>
      <c r="S25" s="11">
        <v>3.21</v>
      </c>
    </row>
    <row r="26" spans="1:19" x14ac:dyDescent="0.2">
      <c r="A26" s="15" t="s">
        <v>57</v>
      </c>
      <c r="B26" s="15" t="s">
        <v>18</v>
      </c>
      <c r="C26" s="15">
        <v>201510</v>
      </c>
      <c r="D26" s="15">
        <v>10301</v>
      </c>
      <c r="E26" s="15" t="s">
        <v>112</v>
      </c>
      <c r="F26" s="15" t="s">
        <v>145</v>
      </c>
      <c r="G26" s="15" t="s">
        <v>143</v>
      </c>
      <c r="H26" s="15" t="s">
        <v>174</v>
      </c>
      <c r="I26" s="15" t="s">
        <v>175</v>
      </c>
      <c r="J26" s="15">
        <v>15</v>
      </c>
      <c r="K26" s="15">
        <v>16</v>
      </c>
      <c r="L26" s="15">
        <v>16</v>
      </c>
      <c r="M26" s="16">
        <v>0.9375</v>
      </c>
      <c r="N26" s="16">
        <v>1</v>
      </c>
      <c r="O26" s="15">
        <v>3.75</v>
      </c>
      <c r="P26" s="15">
        <v>1.125</v>
      </c>
      <c r="Q26" s="15">
        <v>7.0000000000000007E-2</v>
      </c>
      <c r="R26" s="15">
        <v>257.14</v>
      </c>
      <c r="S26" s="15">
        <v>0.55000000000000004</v>
      </c>
    </row>
    <row r="27" spans="1:19" x14ac:dyDescent="0.2">
      <c r="A27" s="11" t="s">
        <v>57</v>
      </c>
      <c r="B27" s="11" t="s">
        <v>18</v>
      </c>
      <c r="C27" s="11">
        <v>201510</v>
      </c>
      <c r="D27" s="11">
        <v>10939</v>
      </c>
      <c r="E27" s="11" t="s">
        <v>112</v>
      </c>
      <c r="F27" s="11" t="s">
        <v>145</v>
      </c>
      <c r="G27" s="11" t="s">
        <v>142</v>
      </c>
      <c r="H27" s="11" t="s">
        <v>174</v>
      </c>
      <c r="I27" s="11" t="s">
        <v>175</v>
      </c>
      <c r="J27" s="11">
        <v>13</v>
      </c>
      <c r="K27" s="11">
        <v>13</v>
      </c>
      <c r="L27" s="11">
        <v>13</v>
      </c>
      <c r="M27" s="17">
        <v>1</v>
      </c>
      <c r="N27" s="17">
        <v>1</v>
      </c>
      <c r="O27" s="11">
        <v>4</v>
      </c>
      <c r="P27" s="11">
        <v>1.125</v>
      </c>
      <c r="Q27" s="11">
        <v>7.0000000000000007E-2</v>
      </c>
      <c r="R27" s="11">
        <v>208.93</v>
      </c>
      <c r="S27" s="11">
        <v>0.45</v>
      </c>
    </row>
    <row r="28" spans="1:19" x14ac:dyDescent="0.2">
      <c r="A28" s="15" t="s">
        <v>57</v>
      </c>
      <c r="B28" s="15" t="s">
        <v>20</v>
      </c>
      <c r="C28" s="15">
        <v>201520</v>
      </c>
      <c r="D28" s="15">
        <v>20053</v>
      </c>
      <c r="E28" s="15" t="s">
        <v>112</v>
      </c>
      <c r="F28" s="15" t="s">
        <v>145</v>
      </c>
      <c r="G28" s="15" t="s">
        <v>143</v>
      </c>
      <c r="H28" s="15" t="s">
        <v>174</v>
      </c>
      <c r="I28" s="15" t="s">
        <v>175</v>
      </c>
      <c r="J28" s="15">
        <v>14</v>
      </c>
      <c r="K28" s="15">
        <v>14</v>
      </c>
      <c r="L28" s="15">
        <v>17</v>
      </c>
      <c r="M28" s="16">
        <v>0.82352999999999998</v>
      </c>
      <c r="N28" s="16">
        <v>0.82352999999999998</v>
      </c>
      <c r="O28" s="15">
        <v>3.29</v>
      </c>
      <c r="P28" s="15">
        <v>1.125</v>
      </c>
      <c r="Q28" s="15">
        <v>7.0000000000000007E-2</v>
      </c>
      <c r="R28" s="15">
        <v>273.20999999999998</v>
      </c>
      <c r="S28" s="15">
        <v>0.57999999999999996</v>
      </c>
    </row>
    <row r="29" spans="1:19" x14ac:dyDescent="0.2">
      <c r="A29" s="11" t="s">
        <v>57</v>
      </c>
      <c r="B29" s="11" t="s">
        <v>20</v>
      </c>
      <c r="C29" s="11">
        <v>201520</v>
      </c>
      <c r="D29" s="11">
        <v>20940</v>
      </c>
      <c r="E29" s="11" t="s">
        <v>112</v>
      </c>
      <c r="F29" s="11" t="s">
        <v>145</v>
      </c>
      <c r="G29" s="11" t="s">
        <v>143</v>
      </c>
      <c r="H29" s="11" t="s">
        <v>174</v>
      </c>
      <c r="I29" s="11" t="s">
        <v>175</v>
      </c>
      <c r="J29" s="11">
        <v>15</v>
      </c>
      <c r="K29" s="11">
        <v>15</v>
      </c>
      <c r="L29" s="11">
        <v>15</v>
      </c>
      <c r="M29" s="17">
        <v>1</v>
      </c>
      <c r="N29" s="17">
        <v>1</v>
      </c>
      <c r="O29" s="11">
        <v>4</v>
      </c>
      <c r="P29" s="11">
        <v>1.125</v>
      </c>
      <c r="Q29" s="11">
        <v>7.0000000000000007E-2</v>
      </c>
      <c r="R29" s="11">
        <v>241.07</v>
      </c>
      <c r="S29" s="11">
        <v>0.51</v>
      </c>
    </row>
    <row r="30" spans="1:19" x14ac:dyDescent="0.2">
      <c r="A30" s="15" t="s">
        <v>58</v>
      </c>
      <c r="B30" s="15" t="s">
        <v>22</v>
      </c>
      <c r="C30" s="15">
        <v>201610</v>
      </c>
      <c r="D30" s="15">
        <v>10667</v>
      </c>
      <c r="E30" s="15" t="s">
        <v>112</v>
      </c>
      <c r="F30" s="15" t="s">
        <v>145</v>
      </c>
      <c r="G30" s="15" t="s">
        <v>143</v>
      </c>
      <c r="H30" s="15" t="s">
        <v>174</v>
      </c>
      <c r="I30" s="15" t="s">
        <v>175</v>
      </c>
      <c r="J30" s="15">
        <v>15</v>
      </c>
      <c r="K30" s="15">
        <v>15</v>
      </c>
      <c r="L30" s="15">
        <v>15</v>
      </c>
      <c r="M30" s="16">
        <v>1</v>
      </c>
      <c r="N30" s="16">
        <v>1</v>
      </c>
      <c r="O30" s="15">
        <v>4</v>
      </c>
      <c r="P30" s="15">
        <v>1.125</v>
      </c>
      <c r="Q30" s="15">
        <v>7.0000000000000007E-2</v>
      </c>
      <c r="R30" s="15">
        <v>241.07</v>
      </c>
      <c r="S30" s="15">
        <v>0.57999999999999996</v>
      </c>
    </row>
    <row r="31" spans="1:19" x14ac:dyDescent="0.2">
      <c r="A31" s="11" t="s">
        <v>58</v>
      </c>
      <c r="B31" s="11" t="s">
        <v>22</v>
      </c>
      <c r="C31" s="11">
        <v>201610</v>
      </c>
      <c r="D31" s="11">
        <v>10926</v>
      </c>
      <c r="E31" s="11" t="s">
        <v>112</v>
      </c>
      <c r="F31" s="11" t="s">
        <v>145</v>
      </c>
      <c r="G31" s="11" t="s">
        <v>143</v>
      </c>
      <c r="H31" s="11" t="s">
        <v>174</v>
      </c>
      <c r="I31" s="11" t="s">
        <v>175</v>
      </c>
      <c r="J31" s="11">
        <v>12</v>
      </c>
      <c r="K31" s="11">
        <v>12</v>
      </c>
      <c r="L31" s="11">
        <v>12</v>
      </c>
      <c r="M31" s="17">
        <v>1</v>
      </c>
      <c r="N31" s="17">
        <v>1</v>
      </c>
      <c r="O31" s="11">
        <v>4</v>
      </c>
      <c r="P31" s="11">
        <v>1.125</v>
      </c>
      <c r="Q31" s="11">
        <v>7.0000000000000007E-2</v>
      </c>
      <c r="R31" s="11">
        <v>192.86</v>
      </c>
      <c r="S31" s="11">
        <v>0.47</v>
      </c>
    </row>
    <row r="32" spans="1:19" x14ac:dyDescent="0.2">
      <c r="A32" s="15" t="s">
        <v>58</v>
      </c>
      <c r="B32" s="15" t="s">
        <v>24</v>
      </c>
      <c r="C32" s="15">
        <v>201620</v>
      </c>
      <c r="D32" s="15">
        <v>20663</v>
      </c>
      <c r="E32" s="15" t="s">
        <v>112</v>
      </c>
      <c r="F32" s="15" t="s">
        <v>145</v>
      </c>
      <c r="G32" s="15" t="s">
        <v>143</v>
      </c>
      <c r="H32" s="15" t="s">
        <v>174</v>
      </c>
      <c r="I32" s="15" t="s">
        <v>175</v>
      </c>
      <c r="J32" s="15">
        <v>18</v>
      </c>
      <c r="K32" s="15">
        <v>18</v>
      </c>
      <c r="L32" s="15">
        <v>18</v>
      </c>
      <c r="M32" s="16">
        <v>1</v>
      </c>
      <c r="N32" s="16">
        <v>1</v>
      </c>
      <c r="O32" s="15">
        <v>4</v>
      </c>
      <c r="P32" s="15">
        <v>1.125</v>
      </c>
      <c r="Q32" s="15">
        <v>7.0000000000000007E-2</v>
      </c>
      <c r="R32" s="15">
        <v>289.29000000000002</v>
      </c>
      <c r="S32" s="15">
        <v>0.7</v>
      </c>
    </row>
    <row r="33" spans="1:19" x14ac:dyDescent="0.2">
      <c r="A33" s="11" t="s">
        <v>58</v>
      </c>
      <c r="B33" s="11" t="s">
        <v>24</v>
      </c>
      <c r="C33" s="11">
        <v>201620</v>
      </c>
      <c r="D33" s="11">
        <v>20812</v>
      </c>
      <c r="E33" s="11" t="s">
        <v>112</v>
      </c>
      <c r="F33" s="11" t="s">
        <v>145</v>
      </c>
      <c r="G33" s="11" t="s">
        <v>143</v>
      </c>
      <c r="H33" s="11" t="s">
        <v>174</v>
      </c>
      <c r="I33" s="11" t="s">
        <v>175</v>
      </c>
      <c r="J33" s="11">
        <v>11</v>
      </c>
      <c r="K33" s="11">
        <v>11</v>
      </c>
      <c r="L33" s="11">
        <v>13</v>
      </c>
      <c r="M33" s="17">
        <v>0.84614999999999996</v>
      </c>
      <c r="N33" s="17">
        <v>0.84614999999999996</v>
      </c>
      <c r="O33" s="11">
        <v>3.38</v>
      </c>
      <c r="P33" s="11">
        <v>1.125</v>
      </c>
      <c r="Q33" s="11">
        <v>7.0000000000000007E-2</v>
      </c>
      <c r="R33" s="11">
        <v>208.93</v>
      </c>
      <c r="S33" s="11">
        <v>0.51</v>
      </c>
    </row>
    <row r="34" spans="1:19" x14ac:dyDescent="0.2">
      <c r="A34" s="15" t="s">
        <v>59</v>
      </c>
      <c r="B34" s="15" t="s">
        <v>26</v>
      </c>
      <c r="C34" s="15">
        <v>201710</v>
      </c>
      <c r="D34" s="15">
        <v>10667</v>
      </c>
      <c r="E34" s="15" t="s">
        <v>112</v>
      </c>
      <c r="F34" s="15" t="s">
        <v>145</v>
      </c>
      <c r="G34" s="15" t="s">
        <v>143</v>
      </c>
      <c r="H34" s="15" t="s">
        <v>174</v>
      </c>
      <c r="I34" s="15" t="s">
        <v>175</v>
      </c>
      <c r="J34" s="15">
        <v>15</v>
      </c>
      <c r="K34" s="15">
        <v>15</v>
      </c>
      <c r="L34" s="15">
        <v>16</v>
      </c>
      <c r="M34" s="16">
        <v>0.9375</v>
      </c>
      <c r="N34" s="16">
        <v>0.9375</v>
      </c>
      <c r="O34" s="15">
        <v>3.75</v>
      </c>
      <c r="P34" s="15">
        <v>1.125</v>
      </c>
      <c r="Q34" s="15">
        <v>7.0000000000000007E-2</v>
      </c>
      <c r="R34" s="15">
        <v>257.14</v>
      </c>
      <c r="S34" s="15">
        <v>0.62</v>
      </c>
    </row>
    <row r="35" spans="1:19" x14ac:dyDescent="0.2">
      <c r="A35" s="11" t="s">
        <v>59</v>
      </c>
      <c r="B35" s="11" t="s">
        <v>26</v>
      </c>
      <c r="C35" s="11">
        <v>201710</v>
      </c>
      <c r="D35" s="11">
        <v>10926</v>
      </c>
      <c r="E35" s="11" t="s">
        <v>112</v>
      </c>
      <c r="F35" s="11" t="s">
        <v>145</v>
      </c>
      <c r="G35" s="11" t="s">
        <v>143</v>
      </c>
      <c r="H35" s="11" t="s">
        <v>174</v>
      </c>
      <c r="I35" s="11" t="s">
        <v>175</v>
      </c>
      <c r="J35" s="11">
        <v>17</v>
      </c>
      <c r="K35" s="11">
        <v>17</v>
      </c>
      <c r="L35" s="11">
        <v>18</v>
      </c>
      <c r="M35" s="17">
        <v>0.94443999999999995</v>
      </c>
      <c r="N35" s="17">
        <v>0.94443999999999995</v>
      </c>
      <c r="O35" s="11">
        <v>3.78</v>
      </c>
      <c r="P35" s="11">
        <v>1.125</v>
      </c>
      <c r="Q35" s="11">
        <v>7.0000000000000007E-2</v>
      </c>
      <c r="R35" s="11">
        <v>289.29000000000002</v>
      </c>
      <c r="S35" s="11">
        <v>0.7</v>
      </c>
    </row>
    <row r="36" spans="1:19" x14ac:dyDescent="0.2">
      <c r="A36" s="15" t="s">
        <v>59</v>
      </c>
      <c r="B36" s="15" t="s">
        <v>28</v>
      </c>
      <c r="C36" s="15">
        <v>201720</v>
      </c>
      <c r="D36" s="15">
        <v>20663</v>
      </c>
      <c r="E36" s="15" t="s">
        <v>112</v>
      </c>
      <c r="F36" s="15" t="s">
        <v>145</v>
      </c>
      <c r="G36" s="15" t="s">
        <v>143</v>
      </c>
      <c r="H36" s="15" t="s">
        <v>174</v>
      </c>
      <c r="I36" s="15" t="s">
        <v>175</v>
      </c>
      <c r="J36" s="15">
        <v>16</v>
      </c>
      <c r="K36" s="15">
        <v>16</v>
      </c>
      <c r="L36" s="15">
        <v>19</v>
      </c>
      <c r="M36" s="16">
        <v>0.84211000000000003</v>
      </c>
      <c r="N36" s="16">
        <v>0.84211000000000003</v>
      </c>
      <c r="O36" s="15">
        <v>3.37</v>
      </c>
      <c r="P36" s="15">
        <v>1.125</v>
      </c>
      <c r="Q36" s="15">
        <v>7.0000000000000007E-2</v>
      </c>
      <c r="R36" s="15">
        <v>305.36</v>
      </c>
      <c r="S36" s="15">
        <v>0.74</v>
      </c>
    </row>
    <row r="37" spans="1:19" x14ac:dyDescent="0.2">
      <c r="A37" s="11" t="s">
        <v>59</v>
      </c>
      <c r="B37" s="11" t="s">
        <v>28</v>
      </c>
      <c r="C37" s="11">
        <v>201720</v>
      </c>
      <c r="D37" s="11">
        <v>20812</v>
      </c>
      <c r="E37" s="11" t="s">
        <v>112</v>
      </c>
      <c r="F37" s="11" t="s">
        <v>145</v>
      </c>
      <c r="G37" s="11" t="s">
        <v>143</v>
      </c>
      <c r="H37" s="11" t="s">
        <v>174</v>
      </c>
      <c r="I37" s="11" t="s">
        <v>175</v>
      </c>
      <c r="J37" s="11">
        <v>15</v>
      </c>
      <c r="K37" s="11">
        <v>17</v>
      </c>
      <c r="L37" s="11">
        <v>18</v>
      </c>
      <c r="M37" s="17">
        <v>0.83333000000000002</v>
      </c>
      <c r="N37" s="17">
        <v>0.94443999999999995</v>
      </c>
      <c r="O37" s="11">
        <v>3.22</v>
      </c>
      <c r="P37" s="11">
        <v>1.125</v>
      </c>
      <c r="Q37" s="11">
        <v>7.0000000000000007E-2</v>
      </c>
      <c r="R37" s="11">
        <v>289.29000000000002</v>
      </c>
      <c r="S37" s="11">
        <v>0.7</v>
      </c>
    </row>
    <row r="38" spans="1:19" x14ac:dyDescent="0.2">
      <c r="A38" s="15" t="s">
        <v>57</v>
      </c>
      <c r="B38" s="15" t="s">
        <v>18</v>
      </c>
      <c r="C38" s="15">
        <v>201510</v>
      </c>
      <c r="D38" s="15">
        <v>10292</v>
      </c>
      <c r="E38" s="15" t="s">
        <v>112</v>
      </c>
      <c r="F38" s="15" t="s">
        <v>146</v>
      </c>
      <c r="G38" s="15" t="s">
        <v>142</v>
      </c>
      <c r="H38" s="15" t="s">
        <v>170</v>
      </c>
      <c r="I38" s="15" t="s">
        <v>171</v>
      </c>
      <c r="J38" s="15">
        <v>17</v>
      </c>
      <c r="K38" s="15">
        <v>26</v>
      </c>
      <c r="L38" s="15">
        <v>34</v>
      </c>
      <c r="M38" s="16">
        <v>0.5</v>
      </c>
      <c r="N38" s="16">
        <v>0.76471</v>
      </c>
      <c r="O38" s="15">
        <v>1.5</v>
      </c>
      <c r="P38" s="15">
        <v>3.375</v>
      </c>
      <c r="Q38" s="15">
        <v>0.2</v>
      </c>
      <c r="R38" s="15">
        <v>573.75</v>
      </c>
      <c r="S38" s="15">
        <v>3.52</v>
      </c>
    </row>
    <row r="39" spans="1:19" x14ac:dyDescent="0.2">
      <c r="A39" s="11" t="s">
        <v>57</v>
      </c>
      <c r="B39" s="11" t="s">
        <v>18</v>
      </c>
      <c r="C39" s="11">
        <v>201510</v>
      </c>
      <c r="D39" s="11">
        <v>10293</v>
      </c>
      <c r="E39" s="11" t="s">
        <v>112</v>
      </c>
      <c r="F39" s="11" t="s">
        <v>146</v>
      </c>
      <c r="G39" s="11" t="s">
        <v>143</v>
      </c>
      <c r="H39" s="11" t="s">
        <v>170</v>
      </c>
      <c r="I39" s="11" t="s">
        <v>171</v>
      </c>
      <c r="J39" s="11">
        <v>17</v>
      </c>
      <c r="K39" s="11">
        <v>23</v>
      </c>
      <c r="L39" s="11">
        <v>33</v>
      </c>
      <c r="M39" s="17">
        <v>0.51515</v>
      </c>
      <c r="N39" s="17">
        <v>0.69696999999999998</v>
      </c>
      <c r="O39" s="11">
        <v>1.52</v>
      </c>
      <c r="P39" s="11">
        <v>3.375</v>
      </c>
      <c r="Q39" s="11">
        <v>0.2</v>
      </c>
      <c r="R39" s="11">
        <v>556.88</v>
      </c>
      <c r="S39" s="11">
        <v>3.42</v>
      </c>
    </row>
    <row r="40" spans="1:19" x14ac:dyDescent="0.2">
      <c r="A40" s="15" t="s">
        <v>57</v>
      </c>
      <c r="B40" s="15" t="s">
        <v>20</v>
      </c>
      <c r="C40" s="15">
        <v>201520</v>
      </c>
      <c r="D40" s="15">
        <v>20049</v>
      </c>
      <c r="E40" s="15" t="s">
        <v>112</v>
      </c>
      <c r="F40" s="15" t="s">
        <v>146</v>
      </c>
      <c r="G40" s="15" t="s">
        <v>142</v>
      </c>
      <c r="H40" s="15" t="s">
        <v>170</v>
      </c>
      <c r="I40" s="15" t="s">
        <v>171</v>
      </c>
      <c r="J40" s="15">
        <v>12</v>
      </c>
      <c r="K40" s="15">
        <v>19</v>
      </c>
      <c r="L40" s="15">
        <v>24</v>
      </c>
      <c r="M40" s="16">
        <v>0.5</v>
      </c>
      <c r="N40" s="16">
        <v>0.79166999999999998</v>
      </c>
      <c r="O40" s="15">
        <v>1.38</v>
      </c>
      <c r="P40" s="15">
        <v>3.375</v>
      </c>
      <c r="Q40" s="15">
        <v>0.2</v>
      </c>
      <c r="R40" s="15">
        <v>405</v>
      </c>
      <c r="S40" s="15">
        <v>2.4900000000000002</v>
      </c>
    </row>
    <row r="41" spans="1:19" x14ac:dyDescent="0.2">
      <c r="A41" s="11" t="s">
        <v>57</v>
      </c>
      <c r="B41" s="11" t="s">
        <v>20</v>
      </c>
      <c r="C41" s="11">
        <v>201520</v>
      </c>
      <c r="D41" s="11">
        <v>20055</v>
      </c>
      <c r="E41" s="11" t="s">
        <v>112</v>
      </c>
      <c r="F41" s="11" t="s">
        <v>146</v>
      </c>
      <c r="G41" s="11" t="s">
        <v>142</v>
      </c>
      <c r="H41" s="11" t="s">
        <v>170</v>
      </c>
      <c r="I41" s="11" t="s">
        <v>171</v>
      </c>
      <c r="J41" s="11">
        <v>19</v>
      </c>
      <c r="K41" s="11">
        <v>23</v>
      </c>
      <c r="L41" s="11">
        <v>34</v>
      </c>
      <c r="M41" s="17">
        <v>0.55881999999999998</v>
      </c>
      <c r="N41" s="17">
        <v>0.67647000000000002</v>
      </c>
      <c r="O41" s="11">
        <v>1.62</v>
      </c>
      <c r="P41" s="11">
        <v>3.375</v>
      </c>
      <c r="Q41" s="11">
        <v>0.2</v>
      </c>
      <c r="R41" s="11">
        <v>573.75</v>
      </c>
      <c r="S41" s="11">
        <v>3.52</v>
      </c>
    </row>
    <row r="42" spans="1:19" x14ac:dyDescent="0.2">
      <c r="A42" s="15" t="s">
        <v>58</v>
      </c>
      <c r="B42" s="15" t="s">
        <v>22</v>
      </c>
      <c r="C42" s="15">
        <v>201610</v>
      </c>
      <c r="D42" s="15">
        <v>10710</v>
      </c>
      <c r="E42" s="15" t="s">
        <v>112</v>
      </c>
      <c r="F42" s="15" t="s">
        <v>146</v>
      </c>
      <c r="G42" s="15" t="s">
        <v>142</v>
      </c>
      <c r="H42" s="15" t="s">
        <v>170</v>
      </c>
      <c r="I42" s="15" t="s">
        <v>172</v>
      </c>
      <c r="J42" s="15">
        <v>34</v>
      </c>
      <c r="K42" s="15">
        <v>38</v>
      </c>
      <c r="L42" s="15">
        <v>41</v>
      </c>
      <c r="M42" s="16">
        <v>0.82926999999999995</v>
      </c>
      <c r="N42" s="16">
        <v>0.92683000000000004</v>
      </c>
      <c r="O42" s="15">
        <v>2.34</v>
      </c>
      <c r="P42" s="15">
        <v>3.375</v>
      </c>
      <c r="Q42" s="15">
        <v>0.2</v>
      </c>
      <c r="R42" s="15">
        <v>691.88</v>
      </c>
      <c r="S42" s="15">
        <v>4.25</v>
      </c>
    </row>
    <row r="43" spans="1:19" x14ac:dyDescent="0.2">
      <c r="A43" s="11" t="s">
        <v>58</v>
      </c>
      <c r="B43" s="11" t="s">
        <v>24</v>
      </c>
      <c r="C43" s="11">
        <v>201620</v>
      </c>
      <c r="D43" s="11">
        <v>20706</v>
      </c>
      <c r="E43" s="11" t="s">
        <v>112</v>
      </c>
      <c r="F43" s="11" t="s">
        <v>146</v>
      </c>
      <c r="G43" s="11" t="s">
        <v>142</v>
      </c>
      <c r="H43" s="11" t="s">
        <v>170</v>
      </c>
      <c r="I43" s="11" t="s">
        <v>172</v>
      </c>
      <c r="J43" s="11">
        <v>23</v>
      </c>
      <c r="K43" s="11">
        <v>28</v>
      </c>
      <c r="L43" s="11">
        <v>34</v>
      </c>
      <c r="M43" s="17">
        <v>0.67647000000000002</v>
      </c>
      <c r="N43" s="17">
        <v>0.82352999999999998</v>
      </c>
      <c r="O43" s="11">
        <v>2.06</v>
      </c>
      <c r="P43" s="11">
        <v>3.375</v>
      </c>
      <c r="Q43" s="11">
        <v>0.2</v>
      </c>
      <c r="R43" s="11">
        <v>573.75</v>
      </c>
      <c r="S43" s="11">
        <v>3.52</v>
      </c>
    </row>
    <row r="44" spans="1:19" x14ac:dyDescent="0.2">
      <c r="A44" s="15" t="s">
        <v>58</v>
      </c>
      <c r="B44" s="15" t="s">
        <v>24</v>
      </c>
      <c r="C44" s="15">
        <v>201620</v>
      </c>
      <c r="D44" s="15">
        <v>20810</v>
      </c>
      <c r="E44" s="15" t="s">
        <v>112</v>
      </c>
      <c r="F44" s="15" t="s">
        <v>146</v>
      </c>
      <c r="G44" s="15" t="s">
        <v>142</v>
      </c>
      <c r="H44" s="15" t="s">
        <v>170</v>
      </c>
      <c r="I44" s="15" t="s">
        <v>172</v>
      </c>
      <c r="J44" s="15">
        <v>24</v>
      </c>
      <c r="K44" s="15">
        <v>29</v>
      </c>
      <c r="L44" s="15">
        <v>34</v>
      </c>
      <c r="M44" s="16">
        <v>0.70587999999999995</v>
      </c>
      <c r="N44" s="16">
        <v>0.85294000000000003</v>
      </c>
      <c r="O44" s="15">
        <v>2.29</v>
      </c>
      <c r="P44" s="15">
        <v>3.375</v>
      </c>
      <c r="Q44" s="15">
        <v>0.2</v>
      </c>
      <c r="R44" s="15">
        <v>573.75</v>
      </c>
      <c r="S44" s="15">
        <v>3.52</v>
      </c>
    </row>
    <row r="45" spans="1:19" x14ac:dyDescent="0.2">
      <c r="A45" s="11" t="s">
        <v>59</v>
      </c>
      <c r="B45" s="11" t="s">
        <v>26</v>
      </c>
      <c r="C45" s="11">
        <v>201710</v>
      </c>
      <c r="D45" s="11">
        <v>10710</v>
      </c>
      <c r="E45" s="11" t="s">
        <v>112</v>
      </c>
      <c r="F45" s="11" t="s">
        <v>146</v>
      </c>
      <c r="G45" s="11" t="s">
        <v>142</v>
      </c>
      <c r="H45" s="11" t="s">
        <v>170</v>
      </c>
      <c r="I45" s="11" t="s">
        <v>172</v>
      </c>
      <c r="J45" s="11">
        <v>24</v>
      </c>
      <c r="K45" s="11">
        <v>29</v>
      </c>
      <c r="L45" s="11">
        <v>31</v>
      </c>
      <c r="M45" s="17">
        <v>0.77419000000000004</v>
      </c>
      <c r="N45" s="17">
        <v>0.93547999999999998</v>
      </c>
      <c r="O45" s="11">
        <v>2.48</v>
      </c>
      <c r="P45" s="11">
        <v>3.375</v>
      </c>
      <c r="Q45" s="11">
        <v>0.2</v>
      </c>
      <c r="R45" s="11">
        <v>523.13</v>
      </c>
      <c r="S45" s="11">
        <v>3.21</v>
      </c>
    </row>
    <row r="46" spans="1:19" x14ac:dyDescent="0.2">
      <c r="A46" s="15" t="s">
        <v>59</v>
      </c>
      <c r="B46" s="15" t="s">
        <v>26</v>
      </c>
      <c r="C46" s="15">
        <v>201710</v>
      </c>
      <c r="D46" s="15">
        <v>10966</v>
      </c>
      <c r="E46" s="15" t="s">
        <v>112</v>
      </c>
      <c r="F46" s="15" t="s">
        <v>146</v>
      </c>
      <c r="G46" s="15" t="s">
        <v>142</v>
      </c>
      <c r="H46" s="15" t="s">
        <v>170</v>
      </c>
      <c r="I46" s="15" t="s">
        <v>172</v>
      </c>
      <c r="J46" s="15">
        <v>29</v>
      </c>
      <c r="K46" s="15">
        <v>33</v>
      </c>
      <c r="L46" s="15">
        <v>39</v>
      </c>
      <c r="M46" s="16">
        <v>0.74358999999999997</v>
      </c>
      <c r="N46" s="16">
        <v>0.84614999999999996</v>
      </c>
      <c r="O46" s="15">
        <v>2.44</v>
      </c>
      <c r="P46" s="15">
        <v>3.375</v>
      </c>
      <c r="Q46" s="15">
        <v>0.2</v>
      </c>
      <c r="R46" s="15">
        <v>658.13</v>
      </c>
      <c r="S46" s="15">
        <v>4.04</v>
      </c>
    </row>
    <row r="47" spans="1:19" x14ac:dyDescent="0.2">
      <c r="A47" s="11" t="s">
        <v>59</v>
      </c>
      <c r="B47" s="11" t="s">
        <v>28</v>
      </c>
      <c r="C47" s="11">
        <v>201720</v>
      </c>
      <c r="D47" s="11">
        <v>20706</v>
      </c>
      <c r="E47" s="11" t="s">
        <v>112</v>
      </c>
      <c r="F47" s="11" t="s">
        <v>146</v>
      </c>
      <c r="G47" s="11" t="s">
        <v>142</v>
      </c>
      <c r="H47" s="11" t="s">
        <v>170</v>
      </c>
      <c r="I47" s="11" t="s">
        <v>172</v>
      </c>
      <c r="J47" s="11">
        <v>37</v>
      </c>
      <c r="K47" s="11">
        <v>37</v>
      </c>
      <c r="L47" s="11">
        <v>38</v>
      </c>
      <c r="M47" s="17">
        <v>0.97367999999999999</v>
      </c>
      <c r="N47" s="17">
        <v>0.97367999999999999</v>
      </c>
      <c r="O47" s="11">
        <v>3</v>
      </c>
      <c r="P47" s="11">
        <v>3.375</v>
      </c>
      <c r="Q47" s="11">
        <v>0.2</v>
      </c>
      <c r="R47" s="11">
        <v>641.25</v>
      </c>
      <c r="S47" s="11">
        <v>3.94</v>
      </c>
    </row>
    <row r="48" spans="1:19" x14ac:dyDescent="0.2">
      <c r="A48" s="15" t="s">
        <v>57</v>
      </c>
      <c r="B48" s="15" t="s">
        <v>18</v>
      </c>
      <c r="C48" s="15">
        <v>201510</v>
      </c>
      <c r="D48" s="15">
        <v>10294</v>
      </c>
      <c r="E48" s="15" t="s">
        <v>112</v>
      </c>
      <c r="F48" s="15" t="s">
        <v>147</v>
      </c>
      <c r="G48" s="15" t="s">
        <v>142</v>
      </c>
      <c r="H48" s="15" t="s">
        <v>170</v>
      </c>
      <c r="I48" s="15" t="s">
        <v>172</v>
      </c>
      <c r="J48" s="15">
        <v>35</v>
      </c>
      <c r="K48" s="15">
        <v>54</v>
      </c>
      <c r="L48" s="15">
        <v>60</v>
      </c>
      <c r="M48" s="16">
        <v>0.58333000000000002</v>
      </c>
      <c r="N48" s="16">
        <v>0.9</v>
      </c>
      <c r="O48" s="15">
        <v>1.73</v>
      </c>
      <c r="P48" s="15">
        <v>3.375</v>
      </c>
      <c r="Q48" s="15">
        <v>0.4</v>
      </c>
      <c r="R48" s="15">
        <v>506.25</v>
      </c>
      <c r="S48" s="15">
        <v>6.22</v>
      </c>
    </row>
    <row r="49" spans="1:19" x14ac:dyDescent="0.2">
      <c r="A49" s="11" t="s">
        <v>57</v>
      </c>
      <c r="B49" s="11" t="s">
        <v>18</v>
      </c>
      <c r="C49" s="11">
        <v>201510</v>
      </c>
      <c r="D49" s="11">
        <v>10295</v>
      </c>
      <c r="E49" s="11" t="s">
        <v>112</v>
      </c>
      <c r="F49" s="11" t="s">
        <v>147</v>
      </c>
      <c r="G49" s="11" t="s">
        <v>148</v>
      </c>
      <c r="H49" s="11" t="s">
        <v>170</v>
      </c>
      <c r="I49" s="11" t="s">
        <v>172</v>
      </c>
      <c r="J49" s="11">
        <v>28</v>
      </c>
      <c r="K49" s="11">
        <v>34</v>
      </c>
      <c r="L49" s="11">
        <v>38</v>
      </c>
      <c r="M49" s="17">
        <v>0.73684000000000005</v>
      </c>
      <c r="N49" s="17">
        <v>0.89473999999999998</v>
      </c>
      <c r="O49" s="11">
        <v>2.3199999999999998</v>
      </c>
      <c r="P49" s="11">
        <v>3.375</v>
      </c>
      <c r="Q49" s="11">
        <v>0.2</v>
      </c>
      <c r="R49" s="11">
        <v>641.25</v>
      </c>
      <c r="S49" s="11">
        <v>3.47</v>
      </c>
    </row>
    <row r="50" spans="1:19" x14ac:dyDescent="0.2">
      <c r="A50" s="15" t="s">
        <v>57</v>
      </c>
      <c r="B50" s="15" t="s">
        <v>20</v>
      </c>
      <c r="C50" s="15">
        <v>201520</v>
      </c>
      <c r="D50" s="15">
        <v>20056</v>
      </c>
      <c r="E50" s="15" t="s">
        <v>112</v>
      </c>
      <c r="F50" s="15" t="s">
        <v>147</v>
      </c>
      <c r="G50" s="15" t="s">
        <v>142</v>
      </c>
      <c r="H50" s="15" t="s">
        <v>170</v>
      </c>
      <c r="I50" s="15" t="s">
        <v>172</v>
      </c>
      <c r="J50" s="15">
        <v>44</v>
      </c>
      <c r="K50" s="15">
        <v>60</v>
      </c>
      <c r="L50" s="15">
        <v>67</v>
      </c>
      <c r="M50" s="16">
        <v>0.65671999999999997</v>
      </c>
      <c r="N50" s="16">
        <v>0.89551999999999998</v>
      </c>
      <c r="O50" s="15">
        <v>1.94</v>
      </c>
      <c r="P50" s="15">
        <v>3.375</v>
      </c>
      <c r="Q50" s="15">
        <v>0.4</v>
      </c>
      <c r="R50" s="15">
        <v>565.30999999999995</v>
      </c>
      <c r="S50" s="15">
        <v>6.94</v>
      </c>
    </row>
    <row r="51" spans="1:19" x14ac:dyDescent="0.2">
      <c r="A51" s="11" t="s">
        <v>57</v>
      </c>
      <c r="B51" s="11" t="s">
        <v>20</v>
      </c>
      <c r="C51" s="11">
        <v>201520</v>
      </c>
      <c r="D51" s="11">
        <v>20060</v>
      </c>
      <c r="E51" s="11" t="s">
        <v>112</v>
      </c>
      <c r="F51" s="11" t="s">
        <v>147</v>
      </c>
      <c r="G51" s="11" t="s">
        <v>148</v>
      </c>
      <c r="H51" s="11" t="s">
        <v>170</v>
      </c>
      <c r="I51" s="11" t="s">
        <v>172</v>
      </c>
      <c r="J51" s="11">
        <v>23</v>
      </c>
      <c r="K51" s="11">
        <v>29</v>
      </c>
      <c r="L51" s="11">
        <v>35</v>
      </c>
      <c r="M51" s="17">
        <v>0.65713999999999995</v>
      </c>
      <c r="N51" s="17">
        <v>0.82857000000000003</v>
      </c>
      <c r="O51" s="11">
        <v>2.06</v>
      </c>
      <c r="P51" s="11">
        <v>3.375</v>
      </c>
      <c r="Q51" s="11">
        <v>0.2</v>
      </c>
      <c r="R51" s="11">
        <v>590.63</v>
      </c>
      <c r="S51" s="11">
        <v>3.2</v>
      </c>
    </row>
    <row r="52" spans="1:19" x14ac:dyDescent="0.2">
      <c r="A52" s="15" t="s">
        <v>58</v>
      </c>
      <c r="B52" s="15" t="s">
        <v>22</v>
      </c>
      <c r="C52" s="15">
        <v>201610</v>
      </c>
      <c r="D52" s="15">
        <v>10664</v>
      </c>
      <c r="E52" s="15" t="s">
        <v>112</v>
      </c>
      <c r="F52" s="15" t="s">
        <v>147</v>
      </c>
      <c r="G52" s="15" t="s">
        <v>142</v>
      </c>
      <c r="H52" s="15" t="s">
        <v>170</v>
      </c>
      <c r="I52" s="15" t="s">
        <v>172</v>
      </c>
      <c r="J52" s="15">
        <v>62</v>
      </c>
      <c r="K52" s="15">
        <v>92</v>
      </c>
      <c r="L52" s="15">
        <v>98</v>
      </c>
      <c r="M52" s="16">
        <v>0.63265000000000005</v>
      </c>
      <c r="N52" s="16">
        <v>0.93877999999999995</v>
      </c>
      <c r="O52" s="15">
        <v>1.85</v>
      </c>
      <c r="P52" s="15">
        <v>3.375</v>
      </c>
      <c r="Q52" s="15">
        <v>0.6</v>
      </c>
      <c r="R52" s="15">
        <v>551.25</v>
      </c>
      <c r="S52" s="15">
        <v>10.15</v>
      </c>
    </row>
    <row r="53" spans="1:19" x14ac:dyDescent="0.2">
      <c r="A53" s="11" t="s">
        <v>58</v>
      </c>
      <c r="B53" s="11" t="s">
        <v>22</v>
      </c>
      <c r="C53" s="11">
        <v>201610</v>
      </c>
      <c r="D53" s="11">
        <v>10665</v>
      </c>
      <c r="E53" s="11" t="s">
        <v>112</v>
      </c>
      <c r="F53" s="11" t="s">
        <v>147</v>
      </c>
      <c r="G53" s="11" t="s">
        <v>148</v>
      </c>
      <c r="H53" s="11" t="s">
        <v>170</v>
      </c>
      <c r="I53" s="11" t="s">
        <v>172</v>
      </c>
      <c r="J53" s="11">
        <v>24</v>
      </c>
      <c r="K53" s="11">
        <v>29</v>
      </c>
      <c r="L53" s="11">
        <v>36</v>
      </c>
      <c r="M53" s="17">
        <v>0.66666999999999998</v>
      </c>
      <c r="N53" s="17">
        <v>0.80556000000000005</v>
      </c>
      <c r="O53" s="11">
        <v>2.11</v>
      </c>
      <c r="P53" s="11">
        <v>3.375</v>
      </c>
      <c r="Q53" s="11">
        <v>0.2</v>
      </c>
      <c r="R53" s="11">
        <v>607.5</v>
      </c>
      <c r="S53" s="11">
        <v>3.29</v>
      </c>
    </row>
    <row r="54" spans="1:19" x14ac:dyDescent="0.2">
      <c r="A54" s="15" t="s">
        <v>58</v>
      </c>
      <c r="B54" s="15" t="s">
        <v>24</v>
      </c>
      <c r="C54" s="15">
        <v>201620</v>
      </c>
      <c r="D54" s="15">
        <v>20660</v>
      </c>
      <c r="E54" s="15" t="s">
        <v>112</v>
      </c>
      <c r="F54" s="15" t="s">
        <v>147</v>
      </c>
      <c r="G54" s="15" t="s">
        <v>142</v>
      </c>
      <c r="H54" s="15" t="s">
        <v>170</v>
      </c>
      <c r="I54" s="15" t="s">
        <v>172</v>
      </c>
      <c r="J54" s="15">
        <v>62</v>
      </c>
      <c r="K54" s="15">
        <v>83</v>
      </c>
      <c r="L54" s="15">
        <v>91</v>
      </c>
      <c r="M54" s="16">
        <v>0.68132000000000004</v>
      </c>
      <c r="N54" s="16">
        <v>0.91208999999999996</v>
      </c>
      <c r="O54" s="15">
        <v>2.0699999999999998</v>
      </c>
      <c r="P54" s="15">
        <v>3.375</v>
      </c>
      <c r="Q54" s="15">
        <v>0.53</v>
      </c>
      <c r="R54" s="15">
        <v>579.48</v>
      </c>
      <c r="S54" s="15">
        <v>9.43</v>
      </c>
    </row>
    <row r="55" spans="1:19" x14ac:dyDescent="0.2">
      <c r="A55" s="11" t="s">
        <v>58</v>
      </c>
      <c r="B55" s="11" t="s">
        <v>24</v>
      </c>
      <c r="C55" s="11">
        <v>201620</v>
      </c>
      <c r="D55" s="11">
        <v>20661</v>
      </c>
      <c r="E55" s="11" t="s">
        <v>112</v>
      </c>
      <c r="F55" s="11" t="s">
        <v>147</v>
      </c>
      <c r="G55" s="11" t="s">
        <v>148</v>
      </c>
      <c r="H55" s="11" t="s">
        <v>170</v>
      </c>
      <c r="I55" s="11" t="s">
        <v>172</v>
      </c>
      <c r="J55" s="11">
        <v>28</v>
      </c>
      <c r="K55" s="11">
        <v>32</v>
      </c>
      <c r="L55" s="11">
        <v>40</v>
      </c>
      <c r="M55" s="17">
        <v>0.7</v>
      </c>
      <c r="N55" s="17">
        <v>0.8</v>
      </c>
      <c r="O55" s="11">
        <v>2.1</v>
      </c>
      <c r="P55" s="11">
        <v>3.375</v>
      </c>
      <c r="Q55" s="11">
        <v>0.2</v>
      </c>
      <c r="R55" s="11">
        <v>675</v>
      </c>
      <c r="S55" s="11">
        <v>3.66</v>
      </c>
    </row>
    <row r="56" spans="1:19" x14ac:dyDescent="0.2">
      <c r="A56" s="15" t="s">
        <v>59</v>
      </c>
      <c r="B56" s="15" t="s">
        <v>26</v>
      </c>
      <c r="C56" s="15">
        <v>201710</v>
      </c>
      <c r="D56" s="15">
        <v>10664</v>
      </c>
      <c r="E56" s="15" t="s">
        <v>112</v>
      </c>
      <c r="F56" s="15" t="s">
        <v>147</v>
      </c>
      <c r="G56" s="15" t="s">
        <v>142</v>
      </c>
      <c r="H56" s="15" t="s">
        <v>170</v>
      </c>
      <c r="I56" s="15" t="s">
        <v>172</v>
      </c>
      <c r="J56" s="15">
        <v>39</v>
      </c>
      <c r="K56" s="15">
        <v>44</v>
      </c>
      <c r="L56" s="15">
        <v>45</v>
      </c>
      <c r="M56" s="16">
        <v>0.86667000000000005</v>
      </c>
      <c r="N56" s="16">
        <v>0.97777999999999998</v>
      </c>
      <c r="O56" s="15">
        <v>2.76</v>
      </c>
      <c r="P56" s="15">
        <v>3.375</v>
      </c>
      <c r="Q56" s="15">
        <v>0.27</v>
      </c>
      <c r="R56" s="15">
        <v>562.5</v>
      </c>
      <c r="S56" s="15">
        <v>4.66</v>
      </c>
    </row>
    <row r="57" spans="1:19" x14ac:dyDescent="0.2">
      <c r="A57" s="11" t="s">
        <v>59</v>
      </c>
      <c r="B57" s="11" t="s">
        <v>26</v>
      </c>
      <c r="C57" s="11">
        <v>201710</v>
      </c>
      <c r="D57" s="11">
        <v>10665</v>
      </c>
      <c r="E57" s="11" t="s">
        <v>112</v>
      </c>
      <c r="F57" s="11" t="s">
        <v>147</v>
      </c>
      <c r="G57" s="11" t="s">
        <v>148</v>
      </c>
      <c r="H57" s="11" t="s">
        <v>170</v>
      </c>
      <c r="I57" s="11" t="s">
        <v>172</v>
      </c>
      <c r="J57" s="11">
        <v>33</v>
      </c>
      <c r="K57" s="11">
        <v>38</v>
      </c>
      <c r="L57" s="11">
        <v>45</v>
      </c>
      <c r="M57" s="17">
        <v>0.73333000000000004</v>
      </c>
      <c r="N57" s="17">
        <v>0.84443999999999997</v>
      </c>
      <c r="O57" s="11">
        <v>2.2200000000000002</v>
      </c>
      <c r="P57" s="11">
        <v>3.375</v>
      </c>
      <c r="Q57" s="11">
        <v>0.27</v>
      </c>
      <c r="R57" s="11">
        <v>562.5</v>
      </c>
      <c r="S57" s="11">
        <v>4.1100000000000003</v>
      </c>
    </row>
    <row r="58" spans="1:19" x14ac:dyDescent="0.2">
      <c r="A58" s="15" t="s">
        <v>59</v>
      </c>
      <c r="B58" s="15" t="s">
        <v>28</v>
      </c>
      <c r="C58" s="15">
        <v>201720</v>
      </c>
      <c r="D58" s="15">
        <v>20660</v>
      </c>
      <c r="E58" s="15" t="s">
        <v>112</v>
      </c>
      <c r="F58" s="15" t="s">
        <v>147</v>
      </c>
      <c r="G58" s="15" t="s">
        <v>142</v>
      </c>
      <c r="H58" s="15" t="s">
        <v>170</v>
      </c>
      <c r="I58" s="15" t="s">
        <v>172</v>
      </c>
      <c r="J58" s="15">
        <v>36</v>
      </c>
      <c r="K58" s="15">
        <v>40</v>
      </c>
      <c r="L58" s="15">
        <v>42</v>
      </c>
      <c r="M58" s="16">
        <v>0.85714000000000001</v>
      </c>
      <c r="N58" s="16">
        <v>0.95238</v>
      </c>
      <c r="O58" s="15">
        <v>2.64</v>
      </c>
      <c r="P58" s="15">
        <v>3.375</v>
      </c>
      <c r="Q58" s="15">
        <v>0.2</v>
      </c>
      <c r="R58" s="15">
        <v>708.75</v>
      </c>
      <c r="S58" s="15">
        <v>4.3499999999999996</v>
      </c>
    </row>
    <row r="59" spans="1:19" x14ac:dyDescent="0.2">
      <c r="A59" s="11" t="s">
        <v>59</v>
      </c>
      <c r="B59" s="11" t="s">
        <v>28</v>
      </c>
      <c r="C59" s="11">
        <v>201720</v>
      </c>
      <c r="D59" s="11">
        <v>20661</v>
      </c>
      <c r="E59" s="11" t="s">
        <v>112</v>
      </c>
      <c r="F59" s="11" t="s">
        <v>147</v>
      </c>
      <c r="G59" s="11" t="s">
        <v>148</v>
      </c>
      <c r="H59" s="11" t="s">
        <v>170</v>
      </c>
      <c r="I59" s="11" t="s">
        <v>172</v>
      </c>
      <c r="J59" s="11">
        <v>26</v>
      </c>
      <c r="K59" s="11">
        <v>33</v>
      </c>
      <c r="L59" s="11">
        <v>35</v>
      </c>
      <c r="M59" s="17">
        <v>0.74285999999999996</v>
      </c>
      <c r="N59" s="17">
        <v>0.94286000000000003</v>
      </c>
      <c r="O59" s="11">
        <v>2.6</v>
      </c>
      <c r="P59" s="11">
        <v>3.375</v>
      </c>
      <c r="Q59" s="11">
        <v>0.2</v>
      </c>
      <c r="R59" s="11">
        <v>590.63</v>
      </c>
      <c r="S59" s="11">
        <v>3.2</v>
      </c>
    </row>
    <row r="60" spans="1:19" x14ac:dyDescent="0.2">
      <c r="A60" s="15" t="s">
        <v>59</v>
      </c>
      <c r="B60" s="15" t="s">
        <v>28</v>
      </c>
      <c r="C60" s="15">
        <v>201720</v>
      </c>
      <c r="D60" s="15">
        <v>21134</v>
      </c>
      <c r="E60" s="15" t="s">
        <v>112</v>
      </c>
      <c r="F60" s="15" t="s">
        <v>147</v>
      </c>
      <c r="G60" s="15" t="s">
        <v>148</v>
      </c>
      <c r="H60" s="15" t="s">
        <v>170</v>
      </c>
      <c r="I60" s="15" t="s">
        <v>172</v>
      </c>
      <c r="J60" s="15">
        <v>29</v>
      </c>
      <c r="K60" s="15">
        <v>33</v>
      </c>
      <c r="L60" s="15">
        <v>36</v>
      </c>
      <c r="M60" s="16">
        <v>0.80556000000000005</v>
      </c>
      <c r="N60" s="16">
        <v>0.91666999999999998</v>
      </c>
      <c r="O60" s="15">
        <v>2.4700000000000002</v>
      </c>
      <c r="P60" s="15">
        <v>3.375</v>
      </c>
      <c r="Q60" s="15">
        <v>0.2</v>
      </c>
      <c r="R60" s="15">
        <v>607.5</v>
      </c>
      <c r="S60" s="15">
        <v>3.29</v>
      </c>
    </row>
    <row r="61" spans="1:19" x14ac:dyDescent="0.2">
      <c r="A61" s="11" t="s">
        <v>59</v>
      </c>
      <c r="B61" s="11" t="s">
        <v>28</v>
      </c>
      <c r="C61" s="11">
        <v>201720</v>
      </c>
      <c r="D61" s="11">
        <v>21185</v>
      </c>
      <c r="E61" s="11" t="s">
        <v>112</v>
      </c>
      <c r="F61" s="11" t="s">
        <v>147</v>
      </c>
      <c r="G61" s="11" t="s">
        <v>148</v>
      </c>
      <c r="H61" s="11" t="s">
        <v>170</v>
      </c>
      <c r="I61" s="11" t="s">
        <v>172</v>
      </c>
      <c r="J61" s="11">
        <v>23</v>
      </c>
      <c r="K61" s="11">
        <v>29</v>
      </c>
      <c r="L61" s="11">
        <v>34</v>
      </c>
      <c r="M61" s="17">
        <v>0.67647000000000002</v>
      </c>
      <c r="N61" s="17">
        <v>0.85294000000000003</v>
      </c>
      <c r="O61" s="11">
        <v>2.2400000000000002</v>
      </c>
      <c r="P61" s="11">
        <v>3.375</v>
      </c>
      <c r="Q61" s="11">
        <v>0.2</v>
      </c>
      <c r="R61" s="11">
        <v>573.75</v>
      </c>
      <c r="S61" s="11">
        <v>3.11</v>
      </c>
    </row>
    <row r="62" spans="1:19" x14ac:dyDescent="0.2">
      <c r="A62" s="15" t="s">
        <v>57</v>
      </c>
      <c r="B62" s="15" t="s">
        <v>18</v>
      </c>
      <c r="C62" s="15">
        <v>201510</v>
      </c>
      <c r="D62" s="15">
        <v>10296</v>
      </c>
      <c r="E62" s="15" t="s">
        <v>112</v>
      </c>
      <c r="F62" s="15" t="s">
        <v>149</v>
      </c>
      <c r="G62" s="15" t="s">
        <v>142</v>
      </c>
      <c r="H62" s="15" t="s">
        <v>170</v>
      </c>
      <c r="I62" s="15" t="s">
        <v>171</v>
      </c>
      <c r="J62" s="15">
        <v>21</v>
      </c>
      <c r="K62" s="15">
        <v>27</v>
      </c>
      <c r="L62" s="15">
        <v>35</v>
      </c>
      <c r="M62" s="16">
        <v>0.6</v>
      </c>
      <c r="N62" s="16">
        <v>0.77142999999999995</v>
      </c>
      <c r="O62" s="15">
        <v>1.57</v>
      </c>
      <c r="P62" s="15">
        <v>3.375</v>
      </c>
      <c r="Q62" s="15">
        <v>0.2</v>
      </c>
      <c r="R62" s="15">
        <v>590.63</v>
      </c>
      <c r="S62" s="15">
        <v>3.63</v>
      </c>
    </row>
    <row r="63" spans="1:19" x14ac:dyDescent="0.2">
      <c r="A63" s="11" t="s">
        <v>57</v>
      </c>
      <c r="B63" s="11" t="s">
        <v>20</v>
      </c>
      <c r="C63" s="11">
        <v>201520</v>
      </c>
      <c r="D63" s="11">
        <v>20058</v>
      </c>
      <c r="E63" s="11" t="s">
        <v>112</v>
      </c>
      <c r="F63" s="11" t="s">
        <v>149</v>
      </c>
      <c r="G63" s="11" t="s">
        <v>143</v>
      </c>
      <c r="H63" s="11" t="s">
        <v>170</v>
      </c>
      <c r="I63" s="11" t="s">
        <v>171</v>
      </c>
      <c r="J63" s="11">
        <v>10</v>
      </c>
      <c r="K63" s="11">
        <v>16</v>
      </c>
      <c r="L63" s="11">
        <v>26</v>
      </c>
      <c r="M63" s="17">
        <v>0.38462000000000002</v>
      </c>
      <c r="N63" s="17">
        <v>0.61538000000000004</v>
      </c>
      <c r="O63" s="11">
        <v>1.19</v>
      </c>
      <c r="P63" s="11">
        <v>3.375</v>
      </c>
      <c r="Q63" s="11">
        <v>0.2</v>
      </c>
      <c r="R63" s="11">
        <v>438.75</v>
      </c>
      <c r="S63" s="11">
        <v>2.69</v>
      </c>
    </row>
    <row r="64" spans="1:19" x14ac:dyDescent="0.2">
      <c r="A64" s="15" t="s">
        <v>58</v>
      </c>
      <c r="B64" s="15" t="s">
        <v>22</v>
      </c>
      <c r="C64" s="15">
        <v>201610</v>
      </c>
      <c r="D64" s="15">
        <v>10662</v>
      </c>
      <c r="E64" s="15" t="s">
        <v>112</v>
      </c>
      <c r="F64" s="15" t="s">
        <v>149</v>
      </c>
      <c r="G64" s="15" t="s">
        <v>142</v>
      </c>
      <c r="H64" s="15" t="s">
        <v>170</v>
      </c>
      <c r="I64" s="15" t="s">
        <v>171</v>
      </c>
      <c r="J64" s="15">
        <v>20</v>
      </c>
      <c r="K64" s="15">
        <v>31</v>
      </c>
      <c r="L64" s="15">
        <v>33</v>
      </c>
      <c r="M64" s="16">
        <v>0.60606000000000004</v>
      </c>
      <c r="N64" s="16">
        <v>0.93938999999999995</v>
      </c>
      <c r="O64" s="15">
        <v>1.79</v>
      </c>
      <c r="P64" s="15">
        <v>3.375</v>
      </c>
      <c r="Q64" s="15">
        <v>0.2</v>
      </c>
      <c r="R64" s="15">
        <v>556.88</v>
      </c>
      <c r="S64" s="15">
        <v>3.42</v>
      </c>
    </row>
    <row r="65" spans="1:19" x14ac:dyDescent="0.2">
      <c r="A65" s="11" t="s">
        <v>58</v>
      </c>
      <c r="B65" s="11" t="s">
        <v>24</v>
      </c>
      <c r="C65" s="11">
        <v>201620</v>
      </c>
      <c r="D65" s="11">
        <v>20658</v>
      </c>
      <c r="E65" s="11" t="s">
        <v>112</v>
      </c>
      <c r="F65" s="11" t="s">
        <v>149</v>
      </c>
      <c r="G65" s="11" t="s">
        <v>142</v>
      </c>
      <c r="H65" s="11" t="s">
        <v>170</v>
      </c>
      <c r="I65" s="11" t="s">
        <v>171</v>
      </c>
      <c r="J65" s="11">
        <v>27</v>
      </c>
      <c r="K65" s="11">
        <v>30</v>
      </c>
      <c r="L65" s="11">
        <v>33</v>
      </c>
      <c r="M65" s="17">
        <v>0.81818000000000002</v>
      </c>
      <c r="N65" s="17">
        <v>0.90908999999999995</v>
      </c>
      <c r="O65" s="11">
        <v>1.79</v>
      </c>
      <c r="P65" s="11">
        <v>3.375</v>
      </c>
      <c r="Q65" s="11">
        <v>0.2</v>
      </c>
      <c r="R65" s="11">
        <v>556.88</v>
      </c>
      <c r="S65" s="11">
        <v>3.42</v>
      </c>
    </row>
    <row r="66" spans="1:19" x14ac:dyDescent="0.2">
      <c r="A66" s="15" t="s">
        <v>59</v>
      </c>
      <c r="B66" s="15" t="s">
        <v>26</v>
      </c>
      <c r="C66" s="15">
        <v>201710</v>
      </c>
      <c r="D66" s="15">
        <v>10662</v>
      </c>
      <c r="E66" s="15" t="s">
        <v>112</v>
      </c>
      <c r="F66" s="15" t="s">
        <v>149</v>
      </c>
      <c r="G66" s="15" t="s">
        <v>143</v>
      </c>
      <c r="H66" s="15" t="s">
        <v>170</v>
      </c>
      <c r="I66" s="15" t="s">
        <v>175</v>
      </c>
      <c r="J66" s="15">
        <v>24</v>
      </c>
      <c r="K66" s="15">
        <v>27</v>
      </c>
      <c r="L66" s="15">
        <v>34</v>
      </c>
      <c r="M66" s="16">
        <v>0.70587999999999995</v>
      </c>
      <c r="N66" s="16">
        <v>0.79412000000000005</v>
      </c>
      <c r="O66" s="15">
        <v>1.94</v>
      </c>
      <c r="P66" s="15">
        <v>3.375</v>
      </c>
      <c r="Q66" s="15">
        <v>0.2</v>
      </c>
      <c r="R66" s="15">
        <v>573.75</v>
      </c>
      <c r="S66" s="15">
        <v>3.52</v>
      </c>
    </row>
    <row r="67" spans="1:19" x14ac:dyDescent="0.2">
      <c r="A67" s="11" t="s">
        <v>59</v>
      </c>
      <c r="B67" s="11" t="s">
        <v>28</v>
      </c>
      <c r="C67" s="11">
        <v>201720</v>
      </c>
      <c r="D67" s="11">
        <v>20658</v>
      </c>
      <c r="E67" s="11" t="s">
        <v>112</v>
      </c>
      <c r="F67" s="11" t="s">
        <v>149</v>
      </c>
      <c r="G67" s="11" t="s">
        <v>143</v>
      </c>
      <c r="H67" s="11" t="s">
        <v>170</v>
      </c>
      <c r="I67" s="11" t="s">
        <v>175</v>
      </c>
      <c r="J67" s="11">
        <v>30</v>
      </c>
      <c r="K67" s="11">
        <v>34</v>
      </c>
      <c r="L67" s="11">
        <v>38</v>
      </c>
      <c r="M67" s="17">
        <v>0.78947000000000001</v>
      </c>
      <c r="N67" s="17">
        <v>0.89473999999999998</v>
      </c>
      <c r="O67" s="11">
        <v>2.08</v>
      </c>
      <c r="P67" s="11">
        <v>3.375</v>
      </c>
      <c r="Q67" s="11">
        <v>0.2</v>
      </c>
      <c r="R67" s="11">
        <v>641.25</v>
      </c>
      <c r="S67" s="11">
        <v>3.94</v>
      </c>
    </row>
    <row r="68" spans="1:19" x14ac:dyDescent="0.2">
      <c r="A68" s="15" t="s">
        <v>57</v>
      </c>
      <c r="B68" s="15" t="s">
        <v>18</v>
      </c>
      <c r="C68" s="15">
        <v>201510</v>
      </c>
      <c r="D68" s="15">
        <v>10297</v>
      </c>
      <c r="E68" s="15" t="s">
        <v>112</v>
      </c>
      <c r="F68" s="15" t="s">
        <v>150</v>
      </c>
      <c r="G68" s="15" t="s">
        <v>143</v>
      </c>
      <c r="H68" s="15" t="s">
        <v>170</v>
      </c>
      <c r="I68" s="15" t="s">
        <v>175</v>
      </c>
      <c r="J68" s="15">
        <v>33</v>
      </c>
      <c r="K68" s="15">
        <v>36</v>
      </c>
      <c r="L68" s="15">
        <v>38</v>
      </c>
      <c r="M68" s="16">
        <v>0.86841999999999997</v>
      </c>
      <c r="N68" s="16">
        <v>0.94737000000000005</v>
      </c>
      <c r="O68" s="15">
        <v>2.0299999999999998</v>
      </c>
      <c r="P68" s="15">
        <v>3.375</v>
      </c>
      <c r="Q68" s="15">
        <v>0.2</v>
      </c>
      <c r="R68" s="15">
        <v>641.25</v>
      </c>
      <c r="S68" s="15">
        <v>3.94</v>
      </c>
    </row>
    <row r="69" spans="1:19" x14ac:dyDescent="0.2">
      <c r="A69" s="11" t="s">
        <v>58</v>
      </c>
      <c r="B69" s="11" t="s">
        <v>22</v>
      </c>
      <c r="C69" s="11">
        <v>201610</v>
      </c>
      <c r="D69" s="11">
        <v>10670</v>
      </c>
      <c r="E69" s="11" t="s">
        <v>112</v>
      </c>
      <c r="F69" s="11" t="s">
        <v>150</v>
      </c>
      <c r="G69" s="11" t="s">
        <v>143</v>
      </c>
      <c r="H69" s="11" t="s">
        <v>170</v>
      </c>
      <c r="I69" s="11" t="s">
        <v>175</v>
      </c>
      <c r="J69" s="11">
        <v>20</v>
      </c>
      <c r="K69" s="11">
        <v>31</v>
      </c>
      <c r="L69" s="11">
        <v>33</v>
      </c>
      <c r="M69" s="17">
        <v>0.60606000000000004</v>
      </c>
      <c r="N69" s="17">
        <v>0.93938999999999995</v>
      </c>
      <c r="O69" s="11">
        <v>1.61</v>
      </c>
      <c r="P69" s="11">
        <v>3.375</v>
      </c>
      <c r="Q69" s="11">
        <v>0.2</v>
      </c>
      <c r="R69" s="11">
        <v>556.88</v>
      </c>
      <c r="S69" s="11">
        <v>3.42</v>
      </c>
    </row>
    <row r="70" spans="1:19" x14ac:dyDescent="0.2">
      <c r="A70" s="15" t="s">
        <v>59</v>
      </c>
      <c r="B70" s="15" t="s">
        <v>26</v>
      </c>
      <c r="C70" s="15">
        <v>201710</v>
      </c>
      <c r="D70" s="15">
        <v>10670</v>
      </c>
      <c r="E70" s="15" t="s">
        <v>112</v>
      </c>
      <c r="F70" s="15" t="s">
        <v>150</v>
      </c>
      <c r="G70" s="15" t="s">
        <v>142</v>
      </c>
      <c r="H70" s="15" t="s">
        <v>170</v>
      </c>
      <c r="I70" s="15" t="s">
        <v>175</v>
      </c>
      <c r="J70" s="15">
        <v>38</v>
      </c>
      <c r="K70" s="15">
        <v>41</v>
      </c>
      <c r="L70" s="15">
        <v>43</v>
      </c>
      <c r="M70" s="16">
        <v>0.88371999999999995</v>
      </c>
      <c r="N70" s="16">
        <v>0.95348999999999995</v>
      </c>
      <c r="O70" s="15">
        <v>2.2999999999999998</v>
      </c>
      <c r="P70" s="15">
        <v>3.375</v>
      </c>
      <c r="Q70" s="15">
        <v>0.2</v>
      </c>
      <c r="R70" s="15">
        <v>725.63</v>
      </c>
      <c r="S70" s="15">
        <v>4.46</v>
      </c>
    </row>
    <row r="71" spans="1:19" x14ac:dyDescent="0.2">
      <c r="A71" s="11" t="s">
        <v>57</v>
      </c>
      <c r="B71" s="11" t="s">
        <v>18</v>
      </c>
      <c r="C71" s="11">
        <v>201510</v>
      </c>
      <c r="D71" s="11">
        <v>10298</v>
      </c>
      <c r="E71" s="11" t="s">
        <v>112</v>
      </c>
      <c r="F71" s="11" t="s">
        <v>151</v>
      </c>
      <c r="G71" s="11" t="s">
        <v>142</v>
      </c>
      <c r="H71" s="11" t="s">
        <v>170</v>
      </c>
      <c r="I71" s="11" t="s">
        <v>172</v>
      </c>
      <c r="J71" s="11">
        <v>24</v>
      </c>
      <c r="K71" s="11">
        <v>28</v>
      </c>
      <c r="L71" s="11">
        <v>31</v>
      </c>
      <c r="M71" s="17">
        <v>0.77419000000000004</v>
      </c>
      <c r="N71" s="17">
        <v>0.90322999999999998</v>
      </c>
      <c r="O71" s="11">
        <v>2.35</v>
      </c>
      <c r="P71" s="11">
        <v>3.375</v>
      </c>
      <c r="Q71" s="11">
        <v>0.2</v>
      </c>
      <c r="R71" s="11">
        <v>523.13</v>
      </c>
      <c r="S71" s="11">
        <v>3.21</v>
      </c>
    </row>
    <row r="72" spans="1:19" x14ac:dyDescent="0.2">
      <c r="A72" s="15" t="s">
        <v>58</v>
      </c>
      <c r="B72" s="15" t="s">
        <v>22</v>
      </c>
      <c r="C72" s="15">
        <v>201610</v>
      </c>
      <c r="D72" s="15">
        <v>10663</v>
      </c>
      <c r="E72" s="15" t="s">
        <v>112</v>
      </c>
      <c r="F72" s="15" t="s">
        <v>151</v>
      </c>
      <c r="G72" s="15" t="s">
        <v>142</v>
      </c>
      <c r="H72" s="15" t="s">
        <v>170</v>
      </c>
      <c r="I72" s="15" t="s">
        <v>172</v>
      </c>
      <c r="J72" s="15">
        <v>24</v>
      </c>
      <c r="K72" s="15">
        <v>27</v>
      </c>
      <c r="L72" s="15">
        <v>33</v>
      </c>
      <c r="M72" s="16">
        <v>0.72726999999999997</v>
      </c>
      <c r="N72" s="16">
        <v>0.81818000000000002</v>
      </c>
      <c r="O72" s="15">
        <v>1.97</v>
      </c>
      <c r="P72" s="15">
        <v>3.375</v>
      </c>
      <c r="Q72" s="15">
        <v>0.2</v>
      </c>
      <c r="R72" s="15">
        <v>556.88</v>
      </c>
      <c r="S72" s="15">
        <v>3.42</v>
      </c>
    </row>
    <row r="73" spans="1:19" x14ac:dyDescent="0.2">
      <c r="A73" s="11" t="s">
        <v>58</v>
      </c>
      <c r="B73" s="11" t="s">
        <v>22</v>
      </c>
      <c r="C73" s="11">
        <v>201610</v>
      </c>
      <c r="D73" s="11">
        <v>10669</v>
      </c>
      <c r="E73" s="11" t="s">
        <v>112</v>
      </c>
      <c r="F73" s="11" t="s">
        <v>151</v>
      </c>
      <c r="G73" s="11" t="s">
        <v>143</v>
      </c>
      <c r="H73" s="11" t="s">
        <v>170</v>
      </c>
      <c r="I73" s="11" t="s">
        <v>172</v>
      </c>
      <c r="J73" s="11">
        <v>20</v>
      </c>
      <c r="K73" s="11">
        <v>26</v>
      </c>
      <c r="L73" s="11">
        <v>29</v>
      </c>
      <c r="M73" s="17">
        <v>0.68966000000000005</v>
      </c>
      <c r="N73" s="17">
        <v>0.89654999999999996</v>
      </c>
      <c r="O73" s="11">
        <v>2.0299999999999998</v>
      </c>
      <c r="P73" s="11">
        <v>3.375</v>
      </c>
      <c r="Q73" s="11">
        <v>0.2</v>
      </c>
      <c r="R73" s="11">
        <v>489.38</v>
      </c>
      <c r="S73" s="11">
        <v>3</v>
      </c>
    </row>
    <row r="74" spans="1:19" x14ac:dyDescent="0.2">
      <c r="A74" s="15" t="s">
        <v>58</v>
      </c>
      <c r="B74" s="15" t="s">
        <v>24</v>
      </c>
      <c r="C74" s="15">
        <v>201620</v>
      </c>
      <c r="D74" s="15">
        <v>20659</v>
      </c>
      <c r="E74" s="15" t="s">
        <v>112</v>
      </c>
      <c r="F74" s="15" t="s">
        <v>151</v>
      </c>
      <c r="G74" s="15" t="s">
        <v>142</v>
      </c>
      <c r="H74" s="15" t="s">
        <v>170</v>
      </c>
      <c r="I74" s="15" t="s">
        <v>172</v>
      </c>
      <c r="J74" s="15">
        <v>27</v>
      </c>
      <c r="K74" s="15">
        <v>33</v>
      </c>
      <c r="L74" s="15">
        <v>34</v>
      </c>
      <c r="M74" s="16">
        <v>0.79412000000000005</v>
      </c>
      <c r="N74" s="16">
        <v>0.97058999999999995</v>
      </c>
      <c r="O74" s="15">
        <v>2.59</v>
      </c>
      <c r="P74" s="15">
        <v>3.375</v>
      </c>
      <c r="Q74" s="15">
        <v>0.2</v>
      </c>
      <c r="R74" s="15">
        <v>573.75</v>
      </c>
      <c r="S74" s="15">
        <v>3.52</v>
      </c>
    </row>
    <row r="75" spans="1:19" x14ac:dyDescent="0.2">
      <c r="A75" s="11" t="s">
        <v>59</v>
      </c>
      <c r="B75" s="11" t="s">
        <v>27</v>
      </c>
      <c r="C75" s="11">
        <v>201715</v>
      </c>
      <c r="D75" s="11">
        <v>15173</v>
      </c>
      <c r="E75" s="11" t="s">
        <v>112</v>
      </c>
      <c r="F75" s="11" t="s">
        <v>151</v>
      </c>
      <c r="G75" s="11" t="s">
        <v>142</v>
      </c>
      <c r="H75" s="11" t="s">
        <v>170</v>
      </c>
      <c r="I75" s="11" t="s">
        <v>172</v>
      </c>
      <c r="J75" s="11">
        <v>33</v>
      </c>
      <c r="K75" s="11">
        <v>33</v>
      </c>
      <c r="L75" s="11">
        <v>34</v>
      </c>
      <c r="M75" s="17">
        <v>0.97058999999999995</v>
      </c>
      <c r="N75" s="17">
        <v>0.97058999999999995</v>
      </c>
      <c r="O75" s="11">
        <v>3.41</v>
      </c>
      <c r="P75" s="11">
        <v>3.375</v>
      </c>
      <c r="Q75" s="11">
        <v>0.2</v>
      </c>
      <c r="R75" s="11">
        <v>573.75</v>
      </c>
      <c r="S75" s="11">
        <v>3.57</v>
      </c>
    </row>
    <row r="76" spans="1:19" x14ac:dyDescent="0.2">
      <c r="A76" s="15" t="s">
        <v>59</v>
      </c>
      <c r="B76" s="15" t="s">
        <v>28</v>
      </c>
      <c r="C76" s="15">
        <v>201720</v>
      </c>
      <c r="D76" s="15">
        <v>20659</v>
      </c>
      <c r="E76" s="15" t="s">
        <v>112</v>
      </c>
      <c r="F76" s="15" t="s">
        <v>151</v>
      </c>
      <c r="G76" s="15" t="s">
        <v>142</v>
      </c>
      <c r="H76" s="15" t="s">
        <v>170</v>
      </c>
      <c r="I76" s="15" t="s">
        <v>172</v>
      </c>
      <c r="J76" s="15">
        <v>28</v>
      </c>
      <c r="K76" s="15">
        <v>28</v>
      </c>
      <c r="L76" s="15">
        <v>32</v>
      </c>
      <c r="M76" s="16">
        <v>0.875</v>
      </c>
      <c r="N76" s="16">
        <v>0.875</v>
      </c>
      <c r="O76" s="15">
        <v>2.63</v>
      </c>
      <c r="P76" s="15">
        <v>3.375</v>
      </c>
      <c r="Q76" s="15">
        <v>0.2</v>
      </c>
      <c r="R76" s="15">
        <v>540</v>
      </c>
      <c r="S76" s="15">
        <v>3.32</v>
      </c>
    </row>
    <row r="77" spans="1:19" x14ac:dyDescent="0.2">
      <c r="A77" s="11" t="s">
        <v>57</v>
      </c>
      <c r="B77" s="11" t="s">
        <v>18</v>
      </c>
      <c r="C77" s="11">
        <v>201510</v>
      </c>
      <c r="D77" s="11">
        <v>10299</v>
      </c>
      <c r="E77" s="11" t="s">
        <v>112</v>
      </c>
      <c r="F77" s="11" t="s">
        <v>152</v>
      </c>
      <c r="G77" s="11" t="s">
        <v>142</v>
      </c>
      <c r="H77" s="11" t="s">
        <v>170</v>
      </c>
      <c r="I77" s="11" t="s">
        <v>171</v>
      </c>
      <c r="J77" s="11">
        <v>21</v>
      </c>
      <c r="K77" s="11">
        <v>23</v>
      </c>
      <c r="L77" s="11">
        <v>27</v>
      </c>
      <c r="M77" s="17">
        <v>0.77778000000000003</v>
      </c>
      <c r="N77" s="17">
        <v>0.85185</v>
      </c>
      <c r="O77" s="11">
        <v>2.48</v>
      </c>
      <c r="P77" s="11">
        <v>2.25</v>
      </c>
      <c r="Q77" s="11">
        <v>0.13</v>
      </c>
      <c r="R77" s="11">
        <v>467.31</v>
      </c>
      <c r="S77" s="11">
        <v>1.89</v>
      </c>
    </row>
    <row r="78" spans="1:19" x14ac:dyDescent="0.2">
      <c r="A78" s="15" t="s">
        <v>58</v>
      </c>
      <c r="B78" s="15" t="s">
        <v>22</v>
      </c>
      <c r="C78" s="15">
        <v>201610</v>
      </c>
      <c r="D78" s="15">
        <v>10668</v>
      </c>
      <c r="E78" s="15" t="s">
        <v>112</v>
      </c>
      <c r="F78" s="15" t="s">
        <v>152</v>
      </c>
      <c r="G78" s="15" t="s">
        <v>143</v>
      </c>
      <c r="H78" s="15" t="s">
        <v>170</v>
      </c>
      <c r="I78" s="15" t="s">
        <v>175</v>
      </c>
      <c r="J78" s="15">
        <v>17</v>
      </c>
      <c r="K78" s="15">
        <v>19</v>
      </c>
      <c r="L78" s="15">
        <v>22</v>
      </c>
      <c r="M78" s="16">
        <v>0.77273000000000003</v>
      </c>
      <c r="N78" s="16">
        <v>0.86363999999999996</v>
      </c>
      <c r="O78" s="15">
        <v>2.09</v>
      </c>
      <c r="P78" s="15">
        <v>2.25</v>
      </c>
      <c r="Q78" s="15">
        <v>0.13</v>
      </c>
      <c r="R78" s="15">
        <v>380.77</v>
      </c>
      <c r="S78" s="15">
        <v>1.54</v>
      </c>
    </row>
    <row r="79" spans="1:19" x14ac:dyDescent="0.2">
      <c r="A79" s="11" t="s">
        <v>59</v>
      </c>
      <c r="B79" s="11" t="s">
        <v>29</v>
      </c>
      <c r="C79" s="11">
        <v>201730</v>
      </c>
      <c r="D79" s="11">
        <v>30212</v>
      </c>
      <c r="E79" s="11" t="s">
        <v>112</v>
      </c>
      <c r="F79" s="11" t="s">
        <v>152</v>
      </c>
      <c r="G79" s="11" t="s">
        <v>142</v>
      </c>
      <c r="H79" s="11" t="s">
        <v>170</v>
      </c>
      <c r="I79" s="11" t="s">
        <v>175</v>
      </c>
      <c r="J79" s="11">
        <v>16</v>
      </c>
      <c r="K79" s="11">
        <v>24</v>
      </c>
      <c r="L79" s="11">
        <v>24</v>
      </c>
      <c r="M79" s="17">
        <v>0.66666999999999998</v>
      </c>
      <c r="N79" s="17">
        <v>1</v>
      </c>
      <c r="O79" s="11">
        <v>1.75</v>
      </c>
      <c r="P79" s="11">
        <v>2.25</v>
      </c>
      <c r="Q79" s="11">
        <v>0.13</v>
      </c>
      <c r="R79" s="11">
        <v>415.38</v>
      </c>
      <c r="S79" s="11">
        <v>1.68</v>
      </c>
    </row>
    <row r="80" spans="1:19" x14ac:dyDescent="0.2">
      <c r="A80" s="15" t="s">
        <v>57</v>
      </c>
      <c r="B80" s="15" t="s">
        <v>20</v>
      </c>
      <c r="C80" s="15">
        <v>201520</v>
      </c>
      <c r="D80" s="15">
        <v>20051</v>
      </c>
      <c r="E80" s="15" t="s">
        <v>112</v>
      </c>
      <c r="F80" s="15" t="s">
        <v>153</v>
      </c>
      <c r="G80" s="15" t="s">
        <v>142</v>
      </c>
      <c r="H80" s="15" t="s">
        <v>170</v>
      </c>
      <c r="I80" s="15" t="s">
        <v>171</v>
      </c>
      <c r="J80" s="15">
        <v>19</v>
      </c>
      <c r="K80" s="15">
        <v>23</v>
      </c>
      <c r="L80" s="15">
        <v>31</v>
      </c>
      <c r="M80" s="16">
        <v>0.6129</v>
      </c>
      <c r="N80" s="16">
        <v>0.74194000000000004</v>
      </c>
      <c r="O80" s="15">
        <v>1.84</v>
      </c>
      <c r="P80" s="15">
        <v>2.25</v>
      </c>
      <c r="Q80" s="15">
        <v>0.13</v>
      </c>
      <c r="R80" s="15">
        <v>536.54</v>
      </c>
      <c r="S80" s="15">
        <v>2.17</v>
      </c>
    </row>
    <row r="81" spans="1:19" x14ac:dyDescent="0.2">
      <c r="A81" s="11" t="s">
        <v>59</v>
      </c>
      <c r="B81" s="11" t="s">
        <v>26</v>
      </c>
      <c r="C81" s="11">
        <v>201710</v>
      </c>
      <c r="D81" s="11">
        <v>11123</v>
      </c>
      <c r="E81" s="11" t="s">
        <v>112</v>
      </c>
      <c r="F81" s="11" t="s">
        <v>154</v>
      </c>
      <c r="G81" s="11" t="s">
        <v>143</v>
      </c>
      <c r="H81" s="11" t="s">
        <v>170</v>
      </c>
      <c r="I81" s="11" t="s">
        <v>176</v>
      </c>
      <c r="J81" s="11">
        <v>35</v>
      </c>
      <c r="K81" s="11">
        <v>36</v>
      </c>
      <c r="L81" s="11">
        <v>39</v>
      </c>
      <c r="M81" s="17">
        <v>0.89744000000000002</v>
      </c>
      <c r="N81" s="17">
        <v>0.92308000000000001</v>
      </c>
      <c r="O81" s="11">
        <v>3.03</v>
      </c>
      <c r="P81" s="11">
        <v>2.25</v>
      </c>
      <c r="Q81" s="11">
        <v>0.13</v>
      </c>
      <c r="R81" s="11">
        <v>675</v>
      </c>
      <c r="S81" s="11">
        <v>2.97</v>
      </c>
    </row>
    <row r="82" spans="1:19" x14ac:dyDescent="0.2">
      <c r="A82" s="15" t="s">
        <v>57</v>
      </c>
      <c r="B82" s="15" t="s">
        <v>20</v>
      </c>
      <c r="C82" s="15">
        <v>201520</v>
      </c>
      <c r="D82" s="15">
        <v>20059</v>
      </c>
      <c r="E82" s="15" t="s">
        <v>112</v>
      </c>
      <c r="F82" s="15" t="s">
        <v>155</v>
      </c>
      <c r="G82" s="15" t="s">
        <v>143</v>
      </c>
      <c r="H82" s="15" t="s">
        <v>170</v>
      </c>
      <c r="I82" s="15" t="s">
        <v>172</v>
      </c>
      <c r="J82" s="15">
        <v>28</v>
      </c>
      <c r="K82" s="15">
        <v>29</v>
      </c>
      <c r="L82" s="15">
        <v>33</v>
      </c>
      <c r="M82" s="16">
        <v>0.84848000000000001</v>
      </c>
      <c r="N82" s="16">
        <v>0.87878999999999996</v>
      </c>
      <c r="O82" s="15">
        <v>2.2999999999999998</v>
      </c>
      <c r="P82" s="15">
        <v>2.25</v>
      </c>
      <c r="Q82" s="15">
        <v>0.13</v>
      </c>
      <c r="R82" s="15">
        <v>571.15</v>
      </c>
      <c r="S82" s="15">
        <v>2.31</v>
      </c>
    </row>
    <row r="83" spans="1:19" x14ac:dyDescent="0.2">
      <c r="A83" s="11" t="s">
        <v>58</v>
      </c>
      <c r="B83" s="11" t="s">
        <v>24</v>
      </c>
      <c r="C83" s="11">
        <v>201620</v>
      </c>
      <c r="D83" s="11">
        <v>20811</v>
      </c>
      <c r="E83" s="11" t="s">
        <v>112</v>
      </c>
      <c r="F83" s="11" t="s">
        <v>155</v>
      </c>
      <c r="G83" s="11" t="s">
        <v>143</v>
      </c>
      <c r="H83" s="11" t="s">
        <v>170</v>
      </c>
      <c r="I83" s="11" t="s">
        <v>172</v>
      </c>
      <c r="J83" s="11">
        <v>28</v>
      </c>
      <c r="K83" s="11">
        <v>32</v>
      </c>
      <c r="L83" s="11">
        <v>33</v>
      </c>
      <c r="M83" s="17">
        <v>0.84848000000000001</v>
      </c>
      <c r="N83" s="17">
        <v>0.96970000000000001</v>
      </c>
      <c r="O83" s="11">
        <v>2.7</v>
      </c>
      <c r="P83" s="11">
        <v>2.25</v>
      </c>
      <c r="Q83" s="11">
        <v>0.13</v>
      </c>
      <c r="R83" s="11">
        <v>571.15</v>
      </c>
      <c r="S83" s="11">
        <v>2.61</v>
      </c>
    </row>
    <row r="84" spans="1:19" x14ac:dyDescent="0.2">
      <c r="A84" s="15" t="s">
        <v>59</v>
      </c>
      <c r="B84" s="15" t="s">
        <v>27</v>
      </c>
      <c r="C84" s="15">
        <v>201715</v>
      </c>
      <c r="D84" s="15">
        <v>15159</v>
      </c>
      <c r="E84" s="15" t="s">
        <v>112</v>
      </c>
      <c r="F84" s="15" t="s">
        <v>155</v>
      </c>
      <c r="G84" s="15" t="s">
        <v>142</v>
      </c>
      <c r="H84" s="15" t="s">
        <v>170</v>
      </c>
      <c r="I84" s="15" t="s">
        <v>172</v>
      </c>
      <c r="J84" s="15">
        <v>34</v>
      </c>
      <c r="K84" s="15">
        <v>34</v>
      </c>
      <c r="L84" s="15">
        <v>35</v>
      </c>
      <c r="M84" s="16">
        <v>0.97143000000000002</v>
      </c>
      <c r="N84" s="16">
        <v>0.97143000000000002</v>
      </c>
      <c r="O84" s="15">
        <v>3.43</v>
      </c>
      <c r="P84" s="15">
        <v>2.25</v>
      </c>
      <c r="Q84" s="15">
        <v>0.13</v>
      </c>
      <c r="R84" s="15">
        <v>605.77</v>
      </c>
      <c r="S84" s="15">
        <v>2.4500000000000002</v>
      </c>
    </row>
    <row r="85" spans="1:19" x14ac:dyDescent="0.2">
      <c r="A85" s="11" t="s">
        <v>59</v>
      </c>
      <c r="B85" s="11" t="s">
        <v>28</v>
      </c>
      <c r="C85" s="11">
        <v>201720</v>
      </c>
      <c r="D85" s="11">
        <v>21150</v>
      </c>
      <c r="E85" s="11" t="s">
        <v>112</v>
      </c>
      <c r="F85" s="11" t="s">
        <v>156</v>
      </c>
      <c r="G85" s="11" t="s">
        <v>143</v>
      </c>
      <c r="H85" s="11" t="s">
        <v>170</v>
      </c>
      <c r="I85" s="11" t="s">
        <v>176</v>
      </c>
      <c r="J85" s="11">
        <v>43</v>
      </c>
      <c r="K85" s="11">
        <v>43</v>
      </c>
      <c r="L85" s="11">
        <v>45</v>
      </c>
      <c r="M85" s="17">
        <v>0.95555999999999996</v>
      </c>
      <c r="N85" s="17">
        <v>0.95555999999999996</v>
      </c>
      <c r="O85" s="11">
        <v>3.58</v>
      </c>
      <c r="P85" s="11">
        <v>2.25</v>
      </c>
      <c r="Q85" s="11">
        <v>0.18</v>
      </c>
      <c r="R85" s="11">
        <v>562.5</v>
      </c>
      <c r="S85" s="11">
        <v>3.43</v>
      </c>
    </row>
    <row r="86" spans="1:19" x14ac:dyDescent="0.2">
      <c r="A86" s="15" t="s">
        <v>58</v>
      </c>
      <c r="B86" s="15" t="s">
        <v>23</v>
      </c>
      <c r="C86" s="15">
        <v>201615</v>
      </c>
      <c r="D86" s="15">
        <v>15119</v>
      </c>
      <c r="E86" s="15" t="s">
        <v>112</v>
      </c>
      <c r="F86" s="15" t="s">
        <v>157</v>
      </c>
      <c r="G86" s="15" t="s">
        <v>142</v>
      </c>
      <c r="H86" s="15" t="s">
        <v>170</v>
      </c>
      <c r="I86" s="15" t="s">
        <v>172</v>
      </c>
      <c r="J86" s="15">
        <v>34</v>
      </c>
      <c r="K86" s="15">
        <v>36</v>
      </c>
      <c r="L86" s="15">
        <v>36</v>
      </c>
      <c r="M86" s="16">
        <v>0.94443999999999995</v>
      </c>
      <c r="N86" s="16">
        <v>1</v>
      </c>
      <c r="O86" s="15">
        <v>2.97</v>
      </c>
      <c r="P86" s="15">
        <v>3.375</v>
      </c>
      <c r="Q86" s="15">
        <v>0.2</v>
      </c>
      <c r="R86" s="15">
        <v>607.5</v>
      </c>
      <c r="S86" s="15">
        <v>3.79</v>
      </c>
    </row>
    <row r="87" spans="1:19" x14ac:dyDescent="0.2">
      <c r="A87" s="11" t="s">
        <v>57</v>
      </c>
      <c r="B87" s="11" t="s">
        <v>20</v>
      </c>
      <c r="C87" s="11">
        <v>201520</v>
      </c>
      <c r="D87" s="11">
        <v>20860</v>
      </c>
      <c r="E87" s="11" t="s">
        <v>112</v>
      </c>
      <c r="F87" s="11" t="s">
        <v>158</v>
      </c>
      <c r="G87" s="11" t="s">
        <v>142</v>
      </c>
      <c r="H87" s="11" t="s">
        <v>170</v>
      </c>
      <c r="I87" s="11" t="s">
        <v>172</v>
      </c>
      <c r="J87" s="11">
        <v>27</v>
      </c>
      <c r="K87" s="11">
        <v>27</v>
      </c>
      <c r="L87" s="11">
        <v>32</v>
      </c>
      <c r="M87" s="17">
        <v>0.84375</v>
      </c>
      <c r="N87" s="17">
        <v>0.84375</v>
      </c>
      <c r="O87" s="11">
        <v>2.66</v>
      </c>
      <c r="P87" s="11">
        <v>2.25</v>
      </c>
      <c r="Q87" s="11">
        <v>0.13</v>
      </c>
      <c r="R87" s="11">
        <v>553.85</v>
      </c>
      <c r="S87" s="11">
        <v>2.2400000000000002</v>
      </c>
    </row>
    <row r="88" spans="1:19" x14ac:dyDescent="0.2">
      <c r="A88" s="15" t="s">
        <v>57</v>
      </c>
      <c r="B88" s="15" t="s">
        <v>20</v>
      </c>
      <c r="C88" s="15">
        <v>201520</v>
      </c>
      <c r="D88" s="15">
        <v>20054</v>
      </c>
      <c r="E88" s="15" t="s">
        <v>112</v>
      </c>
      <c r="F88" s="15" t="s">
        <v>159</v>
      </c>
      <c r="G88" s="15" t="s">
        <v>143</v>
      </c>
      <c r="H88" s="15" t="s">
        <v>170</v>
      </c>
      <c r="I88" s="15" t="s">
        <v>175</v>
      </c>
      <c r="J88" s="15">
        <v>16</v>
      </c>
      <c r="K88" s="15">
        <v>17</v>
      </c>
      <c r="L88" s="15">
        <v>20</v>
      </c>
      <c r="M88" s="16">
        <v>0.8</v>
      </c>
      <c r="N88" s="16">
        <v>0.85</v>
      </c>
      <c r="O88" s="15">
        <v>1.85</v>
      </c>
      <c r="P88" s="15">
        <v>12.24</v>
      </c>
      <c r="Q88" s="15">
        <v>0.73</v>
      </c>
      <c r="R88" s="15">
        <v>335.34</v>
      </c>
      <c r="S88" s="15">
        <v>7.5</v>
      </c>
    </row>
    <row r="89" spans="1:19" x14ac:dyDescent="0.2">
      <c r="A89" s="11" t="s">
        <v>58</v>
      </c>
      <c r="B89" s="11" t="s">
        <v>24</v>
      </c>
      <c r="C89" s="11">
        <v>201620</v>
      </c>
      <c r="D89" s="11">
        <v>20809</v>
      </c>
      <c r="E89" s="11" t="s">
        <v>112</v>
      </c>
      <c r="F89" s="11" t="s">
        <v>159</v>
      </c>
      <c r="G89" s="11" t="s">
        <v>143</v>
      </c>
      <c r="H89" s="11" t="s">
        <v>170</v>
      </c>
      <c r="I89" s="11" t="s">
        <v>175</v>
      </c>
      <c r="J89" s="11">
        <v>14</v>
      </c>
      <c r="K89" s="11">
        <v>17</v>
      </c>
      <c r="L89" s="11">
        <v>19</v>
      </c>
      <c r="M89" s="17">
        <v>0.73684000000000005</v>
      </c>
      <c r="N89" s="17">
        <v>0.89473999999999998</v>
      </c>
      <c r="O89" s="11">
        <v>2</v>
      </c>
      <c r="P89" s="11">
        <v>10.125</v>
      </c>
      <c r="Q89" s="11">
        <v>0.6</v>
      </c>
      <c r="R89" s="11">
        <v>320.63</v>
      </c>
      <c r="S89" s="11">
        <v>7.12</v>
      </c>
    </row>
    <row r="90" spans="1:19" x14ac:dyDescent="0.2">
      <c r="A90" s="15" t="s">
        <v>59</v>
      </c>
      <c r="B90" s="15" t="s">
        <v>28</v>
      </c>
      <c r="C90" s="15">
        <v>201720</v>
      </c>
      <c r="D90" s="15">
        <v>20809</v>
      </c>
      <c r="E90" s="15" t="s">
        <v>112</v>
      </c>
      <c r="F90" s="15" t="s">
        <v>159</v>
      </c>
      <c r="G90" s="15" t="s">
        <v>143</v>
      </c>
      <c r="H90" s="15" t="s">
        <v>170</v>
      </c>
      <c r="I90" s="15" t="s">
        <v>175</v>
      </c>
      <c r="J90" s="15">
        <v>17</v>
      </c>
      <c r="K90" s="15">
        <v>19</v>
      </c>
      <c r="L90" s="15">
        <v>20</v>
      </c>
      <c r="M90" s="16">
        <v>0.85</v>
      </c>
      <c r="N90" s="16">
        <v>0.95</v>
      </c>
      <c r="O90" s="15">
        <v>2.1</v>
      </c>
      <c r="P90" s="15">
        <v>10.125</v>
      </c>
      <c r="Q90" s="15">
        <v>0.6</v>
      </c>
      <c r="R90" s="15">
        <v>337.5</v>
      </c>
      <c r="S90" s="15">
        <v>6.14</v>
      </c>
    </row>
    <row r="91" spans="1:19" x14ac:dyDescent="0.2">
      <c r="A91" s="11" t="s">
        <v>58</v>
      </c>
      <c r="B91" s="11" t="s">
        <v>22</v>
      </c>
      <c r="C91" s="11">
        <v>201610</v>
      </c>
      <c r="D91" s="11">
        <v>10928</v>
      </c>
      <c r="E91" s="11" t="s">
        <v>112</v>
      </c>
      <c r="F91" s="11" t="s">
        <v>160</v>
      </c>
      <c r="G91" s="11" t="s">
        <v>142</v>
      </c>
      <c r="H91" s="11" t="s">
        <v>170</v>
      </c>
      <c r="I91" s="11" t="s">
        <v>171</v>
      </c>
      <c r="J91" s="11">
        <v>15</v>
      </c>
      <c r="K91" s="11">
        <v>22</v>
      </c>
      <c r="L91" s="11">
        <v>26</v>
      </c>
      <c r="M91" s="17">
        <v>0.57691999999999999</v>
      </c>
      <c r="N91" s="17">
        <v>0.84614999999999996</v>
      </c>
      <c r="O91" s="11">
        <v>1.62</v>
      </c>
      <c r="P91" s="11">
        <v>3.375</v>
      </c>
      <c r="Q91" s="11">
        <v>0.2</v>
      </c>
      <c r="R91" s="11">
        <v>438.75</v>
      </c>
      <c r="S91" s="11">
        <v>2.69</v>
      </c>
    </row>
    <row r="92" spans="1:19" x14ac:dyDescent="0.2">
      <c r="A92" s="15" t="s">
        <v>58</v>
      </c>
      <c r="B92" s="15" t="s">
        <v>24</v>
      </c>
      <c r="C92" s="15">
        <v>201620</v>
      </c>
      <c r="D92" s="15">
        <v>20999</v>
      </c>
      <c r="E92" s="15" t="s">
        <v>112</v>
      </c>
      <c r="F92" s="15" t="s">
        <v>161</v>
      </c>
      <c r="G92" s="15" t="s">
        <v>142</v>
      </c>
      <c r="H92" s="15" t="s">
        <v>170</v>
      </c>
      <c r="I92" s="15" t="s">
        <v>171</v>
      </c>
      <c r="J92" s="15">
        <v>22</v>
      </c>
      <c r="K92" s="15">
        <v>26</v>
      </c>
      <c r="L92" s="15">
        <v>30</v>
      </c>
      <c r="M92" s="16">
        <v>0.73333000000000004</v>
      </c>
      <c r="N92" s="16">
        <v>0.86667000000000005</v>
      </c>
      <c r="O92" s="15">
        <v>2.0699999999999998</v>
      </c>
      <c r="P92" s="15">
        <v>3.375</v>
      </c>
      <c r="Q92" s="15">
        <v>0.2</v>
      </c>
      <c r="R92" s="15">
        <v>506.25</v>
      </c>
      <c r="S92" s="15">
        <v>3.11</v>
      </c>
    </row>
    <row r="93" spans="1:19" x14ac:dyDescent="0.2">
      <c r="A93" s="11" t="s">
        <v>59</v>
      </c>
      <c r="B93" s="11" t="s">
        <v>26</v>
      </c>
      <c r="C93" s="11">
        <v>201710</v>
      </c>
      <c r="D93" s="11">
        <v>11122</v>
      </c>
      <c r="E93" s="11" t="s">
        <v>112</v>
      </c>
      <c r="F93" s="11" t="s">
        <v>162</v>
      </c>
      <c r="G93" s="11" t="s">
        <v>143</v>
      </c>
      <c r="H93" s="11" t="s">
        <v>170</v>
      </c>
      <c r="I93" s="11" t="s">
        <v>173</v>
      </c>
      <c r="J93" s="11">
        <v>33</v>
      </c>
      <c r="K93" s="11">
        <v>35</v>
      </c>
      <c r="L93" s="11">
        <v>37</v>
      </c>
      <c r="M93" s="17">
        <v>0.89188999999999996</v>
      </c>
      <c r="N93" s="17">
        <v>0.94594999999999996</v>
      </c>
      <c r="O93" s="11">
        <v>2.81</v>
      </c>
      <c r="P93" s="11">
        <v>3.375</v>
      </c>
      <c r="Q93" s="11">
        <v>0.2</v>
      </c>
      <c r="R93" s="11">
        <v>624.38</v>
      </c>
      <c r="S93" s="11">
        <v>3.83</v>
      </c>
    </row>
    <row r="94" spans="1:19" x14ac:dyDescent="0.2">
      <c r="A94" s="15" t="s">
        <v>59</v>
      </c>
      <c r="B94" s="15" t="s">
        <v>28</v>
      </c>
      <c r="C94" s="15">
        <v>201720</v>
      </c>
      <c r="D94" s="15">
        <v>21138</v>
      </c>
      <c r="E94" s="15" t="s">
        <v>112</v>
      </c>
      <c r="F94" s="15" t="s">
        <v>163</v>
      </c>
      <c r="G94" s="15" t="s">
        <v>143</v>
      </c>
      <c r="H94" s="15" t="s">
        <v>170</v>
      </c>
      <c r="I94" s="15" t="s">
        <v>173</v>
      </c>
      <c r="J94" s="15">
        <v>25</v>
      </c>
      <c r="K94" s="15">
        <v>28</v>
      </c>
      <c r="L94" s="15">
        <v>29</v>
      </c>
      <c r="M94" s="16">
        <v>0.86207</v>
      </c>
      <c r="N94" s="16">
        <v>0.96552000000000004</v>
      </c>
      <c r="O94" s="15">
        <v>2.79</v>
      </c>
      <c r="P94" s="15">
        <v>3.375</v>
      </c>
      <c r="Q94" s="15">
        <v>0.2</v>
      </c>
      <c r="R94" s="15">
        <v>489.38</v>
      </c>
      <c r="S94" s="15">
        <v>3</v>
      </c>
    </row>
  </sheetData>
  <sheetProtection formatCells="0" formatColumns="0" formatRows="0" insertColumns="0" insertRows="0" insertHyperlinks="0" deleteColumns="0" deleteRows="0" sort="0" autoFilter="0" pivotTables="0"/>
  <autoFilter ref="A5:S94"/>
  <mergeCells count="3">
    <mergeCell ref="A1:S1"/>
    <mergeCell ref="A2:S2"/>
    <mergeCell ref="A3:S3"/>
  </mergeCells>
  <conditionalFormatting sqref="M6:M94">
    <cfRule type="cellIs" dxfId="3" priority="1" operator="lessThan">
      <formula>0.7</formula>
    </cfRule>
  </conditionalFormatting>
  <conditionalFormatting sqref="N6:N94">
    <cfRule type="cellIs" dxfId="2" priority="2" operator="lessThan">
      <formula>0.86</formula>
    </cfRule>
  </conditionalFormatting>
  <conditionalFormatting sqref="R6:R94">
    <cfRule type="cellIs" dxfId="1" priority="3" operator="lessThan">
      <formula>565</formula>
    </cfRule>
  </conditionalFormatting>
  <conditionalFormatting sqref="R6:R94">
    <cfRule type="cellIs" dxfId="0" priority="4" operator="greaterThanOrEqual">
      <formula>565</formula>
    </cfRule>
  </conditionalFormatting>
  <pageMargins left="0.4" right="0.4" top="0.6" bottom="0.6" header="0.3" footer="0.3"/>
  <pageSetup fitToHeight="0" orientation="landscape"/>
  <headerFooter>
    <oddHeader>&amp;L&amp;B2017-2018 IVC Research Report for CDEV&amp;RPrinted on &amp;D</oddHeader>
    <oddFooter>&amp;L&amp;BGenerated By: Office of Institutional Research&amp;RPage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A37" sqref="A37:B37"/>
    </sheetView>
  </sheetViews>
  <sheetFormatPr defaultRowHeight="12.75" x14ac:dyDescent="0.2"/>
  <cols>
    <col min="1" max="1" width="16" customWidth="1"/>
    <col min="2" max="2" width="10" customWidth="1"/>
    <col min="3" max="4" width="11" customWidth="1"/>
    <col min="5" max="5" width="10" customWidth="1"/>
    <col min="6" max="7" width="11" customWidth="1"/>
    <col min="8" max="8" width="10" customWidth="1"/>
    <col min="9" max="10" width="11" customWidth="1"/>
    <col min="11" max="11" width="10" customWidth="1"/>
    <col min="12" max="13" width="11" customWidth="1"/>
  </cols>
  <sheetData>
    <row r="1" spans="1:13" ht="21" x14ac:dyDescent="0.35">
      <c r="A1" s="23" t="s">
        <v>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5.75" x14ac:dyDescent="0.25">
      <c r="A2" s="25" t="s">
        <v>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13" x14ac:dyDescent="0.2">
      <c r="B4" s="26" t="s">
        <v>10</v>
      </c>
      <c r="C4" s="26"/>
      <c r="D4" s="26"/>
      <c r="E4" s="26"/>
      <c r="F4" s="26" t="s">
        <v>11</v>
      </c>
      <c r="G4" s="26"/>
      <c r="H4" s="26"/>
      <c r="I4" s="26"/>
      <c r="J4" s="26" t="s">
        <v>12</v>
      </c>
      <c r="K4" s="26"/>
      <c r="L4" s="26"/>
      <c r="M4" s="26"/>
    </row>
    <row r="5" spans="1:13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14</v>
      </c>
      <c r="G5" s="2" t="s">
        <v>15</v>
      </c>
      <c r="H5" s="2" t="s">
        <v>16</v>
      </c>
      <c r="I5" s="2" t="s">
        <v>17</v>
      </c>
      <c r="J5" s="2" t="s">
        <v>14</v>
      </c>
      <c r="K5" s="2" t="s">
        <v>15</v>
      </c>
      <c r="L5" s="2" t="s">
        <v>16</v>
      </c>
      <c r="M5" s="2" t="s">
        <v>17</v>
      </c>
    </row>
    <row r="6" spans="1:13" x14ac:dyDescent="0.2">
      <c r="A6" s="3" t="s">
        <v>18</v>
      </c>
      <c r="B6" s="4">
        <v>8</v>
      </c>
      <c r="C6" s="5">
        <f t="shared" ref="C6:C18" si="0">IF(E6=0, 0, (D6/E6))</f>
        <v>0.91554054054054057</v>
      </c>
      <c r="D6" s="4">
        <v>271</v>
      </c>
      <c r="E6" s="4">
        <v>296</v>
      </c>
      <c r="F6" s="4">
        <v>5</v>
      </c>
      <c r="G6" s="5">
        <f t="shared" ref="G6:G18" si="1">IF(I6=0, 0, (H6/I6))</f>
        <v>0.9358974358974359</v>
      </c>
      <c r="H6" s="4">
        <v>146</v>
      </c>
      <c r="I6" s="4">
        <v>156</v>
      </c>
      <c r="J6" s="4">
        <v>1</v>
      </c>
      <c r="K6" s="5">
        <f t="shared" ref="K6:K18" si="2">IF(M6=0, 0, (L6/M6))</f>
        <v>1.0857142857142856</v>
      </c>
      <c r="L6" s="4">
        <v>38</v>
      </c>
      <c r="M6" s="4">
        <v>35</v>
      </c>
    </row>
    <row r="7" spans="1:13" x14ac:dyDescent="0.2">
      <c r="A7" s="3" t="s">
        <v>19</v>
      </c>
      <c r="B7" s="3">
        <v>0</v>
      </c>
      <c r="C7" s="6">
        <f t="shared" si="0"/>
        <v>0</v>
      </c>
      <c r="D7" s="3">
        <v>0</v>
      </c>
      <c r="E7" s="3">
        <v>0</v>
      </c>
      <c r="F7" s="3">
        <v>0</v>
      </c>
      <c r="G7" s="6">
        <f t="shared" si="1"/>
        <v>0</v>
      </c>
      <c r="H7" s="3">
        <v>0</v>
      </c>
      <c r="I7" s="3">
        <v>0</v>
      </c>
      <c r="J7" s="3">
        <v>0</v>
      </c>
      <c r="K7" s="6">
        <f t="shared" si="2"/>
        <v>0</v>
      </c>
      <c r="L7" s="3">
        <v>0</v>
      </c>
      <c r="M7" s="3">
        <v>0</v>
      </c>
    </row>
    <row r="8" spans="1:13" x14ac:dyDescent="0.2">
      <c r="A8" s="3" t="s">
        <v>20</v>
      </c>
      <c r="B8" s="4">
        <v>7</v>
      </c>
      <c r="C8" s="5">
        <f t="shared" si="0"/>
        <v>0.91428571428571426</v>
      </c>
      <c r="D8" s="4">
        <v>256</v>
      </c>
      <c r="E8" s="4">
        <v>280</v>
      </c>
      <c r="F8" s="4">
        <v>7</v>
      </c>
      <c r="G8" s="5">
        <f t="shared" si="1"/>
        <v>0.8571428571428571</v>
      </c>
      <c r="H8" s="4">
        <v>162</v>
      </c>
      <c r="I8" s="4">
        <v>189</v>
      </c>
      <c r="J8" s="4">
        <v>1</v>
      </c>
      <c r="K8" s="5">
        <f t="shared" si="2"/>
        <v>1</v>
      </c>
      <c r="L8" s="4">
        <v>35</v>
      </c>
      <c r="M8" s="4">
        <v>35</v>
      </c>
    </row>
    <row r="9" spans="1:13" x14ac:dyDescent="0.2">
      <c r="A9" s="3" t="s">
        <v>21</v>
      </c>
      <c r="B9" s="3">
        <v>0</v>
      </c>
      <c r="C9" s="6">
        <f t="shared" si="0"/>
        <v>0</v>
      </c>
      <c r="D9" s="3">
        <v>0</v>
      </c>
      <c r="E9" s="3">
        <v>0</v>
      </c>
      <c r="F9" s="3">
        <v>0</v>
      </c>
      <c r="G9" s="6">
        <f t="shared" si="1"/>
        <v>0</v>
      </c>
      <c r="H9" s="3">
        <v>0</v>
      </c>
      <c r="I9" s="3">
        <v>0</v>
      </c>
      <c r="J9" s="3">
        <v>0</v>
      </c>
      <c r="K9" s="6">
        <f t="shared" si="2"/>
        <v>0</v>
      </c>
      <c r="L9" s="3">
        <v>0</v>
      </c>
      <c r="M9" s="3">
        <v>0</v>
      </c>
    </row>
    <row r="10" spans="1:13" x14ac:dyDescent="0.2">
      <c r="A10" s="3" t="s">
        <v>22</v>
      </c>
      <c r="B10" s="4">
        <v>7</v>
      </c>
      <c r="C10" s="5">
        <f t="shared" si="0"/>
        <v>0.95238095238095233</v>
      </c>
      <c r="D10" s="4">
        <v>300</v>
      </c>
      <c r="E10" s="4">
        <v>315</v>
      </c>
      <c r="F10" s="4">
        <v>6</v>
      </c>
      <c r="G10" s="5">
        <f t="shared" si="1"/>
        <v>0.76744186046511631</v>
      </c>
      <c r="H10" s="4">
        <v>132</v>
      </c>
      <c r="I10" s="4">
        <v>172</v>
      </c>
      <c r="J10" s="4">
        <v>1</v>
      </c>
      <c r="K10" s="5">
        <f t="shared" si="2"/>
        <v>1.0285714285714285</v>
      </c>
      <c r="L10" s="4">
        <v>36</v>
      </c>
      <c r="M10" s="4">
        <v>35</v>
      </c>
    </row>
    <row r="11" spans="1:13" x14ac:dyDescent="0.2">
      <c r="A11" s="3" t="s">
        <v>23</v>
      </c>
      <c r="B11" s="3">
        <v>1</v>
      </c>
      <c r="C11" s="6">
        <f t="shared" si="0"/>
        <v>1.0285714285714285</v>
      </c>
      <c r="D11" s="3">
        <v>36</v>
      </c>
      <c r="E11" s="3">
        <v>35</v>
      </c>
      <c r="F11" s="3">
        <v>0</v>
      </c>
      <c r="G11" s="6">
        <f t="shared" si="1"/>
        <v>0</v>
      </c>
      <c r="H11" s="3">
        <v>0</v>
      </c>
      <c r="I11" s="3">
        <v>0</v>
      </c>
      <c r="J11" s="3">
        <v>0</v>
      </c>
      <c r="K11" s="6">
        <f t="shared" si="2"/>
        <v>0</v>
      </c>
      <c r="L11" s="3">
        <v>0</v>
      </c>
      <c r="M11" s="3">
        <v>0</v>
      </c>
    </row>
    <row r="12" spans="1:13" x14ac:dyDescent="0.2">
      <c r="A12" s="3" t="s">
        <v>24</v>
      </c>
      <c r="B12" s="4">
        <v>9</v>
      </c>
      <c r="C12" s="5">
        <f t="shared" si="0"/>
        <v>0.91428571428571426</v>
      </c>
      <c r="D12" s="4">
        <v>352</v>
      </c>
      <c r="E12" s="4">
        <v>385</v>
      </c>
      <c r="F12" s="4">
        <v>4</v>
      </c>
      <c r="G12" s="5">
        <f t="shared" si="1"/>
        <v>1.0121951219512195</v>
      </c>
      <c r="H12" s="4">
        <v>83</v>
      </c>
      <c r="I12" s="4">
        <v>82</v>
      </c>
      <c r="J12" s="4">
        <v>1</v>
      </c>
      <c r="K12" s="5">
        <f t="shared" si="2"/>
        <v>1.1428571428571428</v>
      </c>
      <c r="L12" s="4">
        <v>40</v>
      </c>
      <c r="M12" s="4">
        <v>35</v>
      </c>
    </row>
    <row r="13" spans="1:13" x14ac:dyDescent="0.2">
      <c r="A13" s="3" t="s">
        <v>25</v>
      </c>
      <c r="B13" s="3">
        <v>0</v>
      </c>
      <c r="C13" s="6">
        <f t="shared" si="0"/>
        <v>0</v>
      </c>
      <c r="D13" s="3">
        <v>0</v>
      </c>
      <c r="E13" s="3">
        <v>0</v>
      </c>
      <c r="F13" s="3">
        <v>0</v>
      </c>
      <c r="G13" s="6">
        <f t="shared" si="1"/>
        <v>0</v>
      </c>
      <c r="H13" s="3">
        <v>0</v>
      </c>
      <c r="I13" s="3">
        <v>0</v>
      </c>
      <c r="J13" s="3">
        <v>0</v>
      </c>
      <c r="K13" s="6">
        <f t="shared" si="2"/>
        <v>0</v>
      </c>
      <c r="L13" s="3">
        <v>0</v>
      </c>
      <c r="M13" s="3">
        <v>0</v>
      </c>
    </row>
    <row r="14" spans="1:13" x14ac:dyDescent="0.2">
      <c r="A14" s="3" t="s">
        <v>26</v>
      </c>
      <c r="B14" s="4">
        <v>6</v>
      </c>
      <c r="C14" s="5">
        <f t="shared" si="0"/>
        <v>1.1523809523809523</v>
      </c>
      <c r="D14" s="4">
        <v>242</v>
      </c>
      <c r="E14" s="4">
        <v>210</v>
      </c>
      <c r="F14" s="4">
        <v>6</v>
      </c>
      <c r="G14" s="5">
        <f t="shared" si="1"/>
        <v>1.0523255813953489</v>
      </c>
      <c r="H14" s="4">
        <v>181</v>
      </c>
      <c r="I14" s="4">
        <v>172</v>
      </c>
      <c r="J14" s="4">
        <v>1</v>
      </c>
      <c r="K14" s="5">
        <f t="shared" si="2"/>
        <v>1.2857142857142858</v>
      </c>
      <c r="L14" s="4">
        <v>45</v>
      </c>
      <c r="M14" s="4">
        <v>35</v>
      </c>
    </row>
    <row r="15" spans="1:13" x14ac:dyDescent="0.2">
      <c r="A15" s="3" t="s">
        <v>27</v>
      </c>
      <c r="B15" s="3">
        <v>2</v>
      </c>
      <c r="C15" s="6">
        <f t="shared" si="0"/>
        <v>0.98571428571428577</v>
      </c>
      <c r="D15" s="3">
        <v>69</v>
      </c>
      <c r="E15" s="3">
        <v>70</v>
      </c>
      <c r="F15" s="3">
        <v>0</v>
      </c>
      <c r="G15" s="6">
        <f t="shared" si="1"/>
        <v>0</v>
      </c>
      <c r="H15" s="3">
        <v>0</v>
      </c>
      <c r="I15" s="3">
        <v>0</v>
      </c>
      <c r="J15" s="3">
        <v>0</v>
      </c>
      <c r="K15" s="6">
        <f t="shared" si="2"/>
        <v>0</v>
      </c>
      <c r="L15" s="3">
        <v>0</v>
      </c>
      <c r="M15" s="3">
        <v>0</v>
      </c>
    </row>
    <row r="16" spans="1:13" x14ac:dyDescent="0.2">
      <c r="A16" s="3" t="s">
        <v>28</v>
      </c>
      <c r="B16" s="4">
        <v>4</v>
      </c>
      <c r="C16" s="5">
        <f t="shared" si="0"/>
        <v>1.0928571428571427</v>
      </c>
      <c r="D16" s="4">
        <v>153</v>
      </c>
      <c r="E16" s="4">
        <v>140</v>
      </c>
      <c r="F16" s="4">
        <v>8</v>
      </c>
      <c r="G16" s="5">
        <f t="shared" si="1"/>
        <v>1.0585585585585586</v>
      </c>
      <c r="H16" s="4">
        <v>235</v>
      </c>
      <c r="I16" s="4">
        <v>222</v>
      </c>
      <c r="J16" s="4">
        <v>3</v>
      </c>
      <c r="K16" s="5">
        <f t="shared" si="2"/>
        <v>1</v>
      </c>
      <c r="L16" s="4">
        <v>105</v>
      </c>
      <c r="M16" s="4">
        <v>105</v>
      </c>
    </row>
    <row r="17" spans="1:13" x14ac:dyDescent="0.2">
      <c r="A17" s="3" t="s">
        <v>29</v>
      </c>
      <c r="B17" s="3">
        <v>1</v>
      </c>
      <c r="C17" s="6">
        <f t="shared" si="0"/>
        <v>0.68571428571428572</v>
      </c>
      <c r="D17" s="3">
        <v>24</v>
      </c>
      <c r="E17" s="3">
        <v>35</v>
      </c>
      <c r="F17" s="3">
        <v>0</v>
      </c>
      <c r="G17" s="6">
        <f t="shared" si="1"/>
        <v>0</v>
      </c>
      <c r="H17" s="3">
        <v>0</v>
      </c>
      <c r="I17" s="3">
        <v>0</v>
      </c>
      <c r="J17" s="3">
        <v>0</v>
      </c>
      <c r="K17" s="6">
        <f t="shared" si="2"/>
        <v>0</v>
      </c>
      <c r="L17" s="3">
        <v>0</v>
      </c>
      <c r="M17" s="3">
        <v>0</v>
      </c>
    </row>
    <row r="18" spans="1:13" x14ac:dyDescent="0.2">
      <c r="A18" s="7" t="s">
        <v>30</v>
      </c>
      <c r="B18" s="8">
        <f>SUM(B6:B17)</f>
        <v>45</v>
      </c>
      <c r="C18" s="9">
        <f t="shared" si="0"/>
        <v>0.96432616081540201</v>
      </c>
      <c r="D18" s="8">
        <f>SUM(D6:D17)</f>
        <v>1703</v>
      </c>
      <c r="E18" s="8">
        <f>SUM(E6:E17)</f>
        <v>1766</v>
      </c>
      <c r="F18" s="8">
        <f>SUM(F6:F17)</f>
        <v>36</v>
      </c>
      <c r="G18" s="9">
        <f t="shared" si="1"/>
        <v>0.94561933534743203</v>
      </c>
      <c r="H18" s="8">
        <f>SUM(H6:H17)</f>
        <v>939</v>
      </c>
      <c r="I18" s="8">
        <f>SUM(I6:I17)</f>
        <v>993</v>
      </c>
      <c r="J18" s="8">
        <f>SUM(J6:J17)</f>
        <v>8</v>
      </c>
      <c r="K18" s="9">
        <f t="shared" si="2"/>
        <v>1.0678571428571428</v>
      </c>
      <c r="L18" s="8">
        <f>SUM(L6:L17)</f>
        <v>299</v>
      </c>
      <c r="M18" s="8">
        <f>SUM(M6:M17)</f>
        <v>280</v>
      </c>
    </row>
    <row r="20" spans="1:13" x14ac:dyDescent="0.2">
      <c r="B20" s="26" t="s">
        <v>10</v>
      </c>
      <c r="C20" s="26"/>
      <c r="D20" s="26"/>
      <c r="E20" s="26"/>
      <c r="F20" s="26" t="s">
        <v>11</v>
      </c>
      <c r="G20" s="26"/>
      <c r="H20" s="26"/>
      <c r="I20" s="26"/>
      <c r="J20" s="26" t="s">
        <v>12</v>
      </c>
      <c r="K20" s="26"/>
      <c r="L20" s="26"/>
      <c r="M20" s="26"/>
    </row>
    <row r="21" spans="1:13" x14ac:dyDescent="0.2">
      <c r="A21" s="2" t="s">
        <v>31</v>
      </c>
      <c r="B21" s="2" t="s">
        <v>14</v>
      </c>
      <c r="C21" s="2" t="s">
        <v>15</v>
      </c>
      <c r="D21" s="2" t="s">
        <v>16</v>
      </c>
      <c r="E21" s="2" t="s">
        <v>17</v>
      </c>
      <c r="F21" s="2" t="s">
        <v>14</v>
      </c>
      <c r="G21" s="2" t="s">
        <v>15</v>
      </c>
      <c r="H21" s="2" t="s">
        <v>16</v>
      </c>
      <c r="I21" s="2" t="s">
        <v>17</v>
      </c>
      <c r="J21" s="2" t="s">
        <v>14</v>
      </c>
      <c r="K21" s="2" t="s">
        <v>15</v>
      </c>
      <c r="L21" s="2" t="s">
        <v>16</v>
      </c>
      <c r="M21" s="2" t="s">
        <v>17</v>
      </c>
    </row>
    <row r="22" spans="1:13" x14ac:dyDescent="0.2">
      <c r="A22" s="3" t="s">
        <v>32</v>
      </c>
      <c r="B22" s="4">
        <v>15</v>
      </c>
      <c r="C22" s="5">
        <f>IF(E22=0, 0, (D22/E22))</f>
        <v>0.91493055555555558</v>
      </c>
      <c r="D22" s="4">
        <v>527</v>
      </c>
      <c r="E22" s="4">
        <v>576</v>
      </c>
      <c r="F22" s="4">
        <v>12</v>
      </c>
      <c r="G22" s="5">
        <f>IF(I22=0, 0, (H22/I22))</f>
        <v>0.89275362318840579</v>
      </c>
      <c r="H22" s="4">
        <v>308</v>
      </c>
      <c r="I22" s="4">
        <v>345</v>
      </c>
      <c r="J22" s="4">
        <v>2</v>
      </c>
      <c r="K22" s="5">
        <f>IF(M22=0, 0, (L22/M22))</f>
        <v>1.0428571428571429</v>
      </c>
      <c r="L22" s="4">
        <v>73</v>
      </c>
      <c r="M22" s="4">
        <v>70</v>
      </c>
    </row>
    <row r="23" spans="1:13" x14ac:dyDescent="0.2">
      <c r="A23" s="3" t="s">
        <v>33</v>
      </c>
      <c r="B23" s="3">
        <v>17</v>
      </c>
      <c r="C23" s="6">
        <f>IF(E23=0, 0, (D23/E23))</f>
        <v>0.93605442176870746</v>
      </c>
      <c r="D23" s="3">
        <v>688</v>
      </c>
      <c r="E23" s="3">
        <v>735</v>
      </c>
      <c r="F23" s="3">
        <v>10</v>
      </c>
      <c r="G23" s="6">
        <f>IF(I23=0, 0, (H23/I23))</f>
        <v>0.84645669291338588</v>
      </c>
      <c r="H23" s="3">
        <v>215</v>
      </c>
      <c r="I23" s="3">
        <v>254</v>
      </c>
      <c r="J23" s="3">
        <v>2</v>
      </c>
      <c r="K23" s="6">
        <f>IF(M23=0, 0, (L23/M23))</f>
        <v>1.0857142857142856</v>
      </c>
      <c r="L23" s="3">
        <v>76</v>
      </c>
      <c r="M23" s="3">
        <v>70</v>
      </c>
    </row>
    <row r="24" spans="1:13" x14ac:dyDescent="0.2">
      <c r="A24" s="3" t="s">
        <v>34</v>
      </c>
      <c r="B24" s="4">
        <v>13</v>
      </c>
      <c r="C24" s="5">
        <f>IF(E24=0, 0, (D24/E24))</f>
        <v>1.0725274725274725</v>
      </c>
      <c r="D24" s="4">
        <v>488</v>
      </c>
      <c r="E24" s="4">
        <v>455</v>
      </c>
      <c r="F24" s="4">
        <v>14</v>
      </c>
      <c r="G24" s="5">
        <f>IF(I24=0, 0, (H24/I24))</f>
        <v>1.0558375634517767</v>
      </c>
      <c r="H24" s="4">
        <v>416</v>
      </c>
      <c r="I24" s="4">
        <v>394</v>
      </c>
      <c r="J24" s="4">
        <v>4</v>
      </c>
      <c r="K24" s="5">
        <f>IF(M24=0, 0, (L24/M24))</f>
        <v>1.0714285714285714</v>
      </c>
      <c r="L24" s="4">
        <v>150</v>
      </c>
      <c r="M24" s="4">
        <v>140</v>
      </c>
    </row>
    <row r="25" spans="1:13" x14ac:dyDescent="0.2">
      <c r="A25" s="7" t="s">
        <v>30</v>
      </c>
      <c r="B25" s="8">
        <f>SUM(B22:B24)</f>
        <v>45</v>
      </c>
      <c r="C25" s="9">
        <f>IF(E25=0, 0, (D25/E25))</f>
        <v>0.96432616081540201</v>
      </c>
      <c r="D25" s="8">
        <f>SUM(D22:D24)</f>
        <v>1703</v>
      </c>
      <c r="E25" s="8">
        <f>SUM(E22:E24)</f>
        <v>1766</v>
      </c>
      <c r="F25" s="8">
        <f>SUM(F22:F24)</f>
        <v>36</v>
      </c>
      <c r="G25" s="9">
        <f>IF(I25=0, 0, (H25/I25))</f>
        <v>0.94561933534743203</v>
      </c>
      <c r="H25" s="8">
        <f>SUM(H22:H24)</f>
        <v>939</v>
      </c>
      <c r="I25" s="8">
        <f>SUM(I22:I24)</f>
        <v>993</v>
      </c>
      <c r="J25" s="8">
        <f>SUM(J22:J24)</f>
        <v>8</v>
      </c>
      <c r="K25" s="9">
        <f>IF(M25=0, 0, (L25/M25))</f>
        <v>1.0678571428571428</v>
      </c>
      <c r="L25" s="8">
        <f>SUM(L22:L24)</f>
        <v>299</v>
      </c>
      <c r="M25" s="8">
        <f>SUM(M22:M24)</f>
        <v>280</v>
      </c>
    </row>
    <row r="28" spans="1:13" ht="21" x14ac:dyDescent="0.35">
      <c r="A28" s="23" t="s">
        <v>35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30" spans="1:13" x14ac:dyDescent="0.2">
      <c r="A30" s="27" t="s">
        <v>36</v>
      </c>
      <c r="B30" s="28"/>
      <c r="C30" s="29" t="s">
        <v>37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3" x14ac:dyDescent="0.2">
      <c r="A31" s="27" t="s">
        <v>38</v>
      </c>
      <c r="B31" s="28"/>
      <c r="C31" s="29" t="s">
        <v>39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</row>
    <row r="32" spans="1:13" x14ac:dyDescent="0.2">
      <c r="A32" s="27" t="s">
        <v>40</v>
      </c>
      <c r="B32" s="28"/>
      <c r="C32" s="29" t="s">
        <v>41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x14ac:dyDescent="0.2">
      <c r="A33" s="27" t="s">
        <v>42</v>
      </c>
      <c r="B33" s="28"/>
      <c r="C33" s="29" t="s">
        <v>43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 x14ac:dyDescent="0.2">
      <c r="A34" s="27" t="s">
        <v>44</v>
      </c>
      <c r="B34" s="28"/>
      <c r="C34" s="29" t="s">
        <v>45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1:13" x14ac:dyDescent="0.2">
      <c r="A35" s="27" t="s">
        <v>46</v>
      </c>
      <c r="B35" s="28"/>
      <c r="C35" s="29" t="s">
        <v>47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3" x14ac:dyDescent="0.2">
      <c r="A36" s="27" t="s">
        <v>48</v>
      </c>
      <c r="B36" s="28"/>
      <c r="C36" s="29" t="s">
        <v>49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 x14ac:dyDescent="0.2">
      <c r="A37" s="27" t="s">
        <v>50</v>
      </c>
      <c r="B37" s="28"/>
      <c r="C37" s="29" t="s">
        <v>51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</row>
  </sheetData>
  <sheetProtection formatCells="0" formatColumns="0" formatRows="0" insertColumns="0" insertRows="0" insertHyperlinks="0" deleteColumns="0" deleteRows="0" sort="0" autoFilter="0" pivotTables="0"/>
  <mergeCells count="25">
    <mergeCell ref="A37:B37"/>
    <mergeCell ref="C37:M37"/>
    <mergeCell ref="A34:B34"/>
    <mergeCell ref="C34:M34"/>
    <mergeCell ref="A35:B35"/>
    <mergeCell ref="C35:M35"/>
    <mergeCell ref="A36:B36"/>
    <mergeCell ref="C36:M36"/>
    <mergeCell ref="A31:B31"/>
    <mergeCell ref="C31:M31"/>
    <mergeCell ref="A32:B32"/>
    <mergeCell ref="C32:M32"/>
    <mergeCell ref="A33:B33"/>
    <mergeCell ref="C33:M33"/>
    <mergeCell ref="B20:E20"/>
    <mergeCell ref="F20:I20"/>
    <mergeCell ref="J20:M20"/>
    <mergeCell ref="A28:M28"/>
    <mergeCell ref="A30:B30"/>
    <mergeCell ref="C30:M30"/>
    <mergeCell ref="A1:M1"/>
    <mergeCell ref="A2:M2"/>
    <mergeCell ref="B4:E4"/>
    <mergeCell ref="F4:I4"/>
    <mergeCell ref="J4:M4"/>
  </mergeCells>
  <pageMargins left="0.4" right="0.4" top="0.6" bottom="0.6" header="0.3" footer="0.3"/>
  <pageSetup orientation="landscape"/>
  <headerFooter>
    <oddHeader>&amp;L&amp;B2017-2018 IVC Research Report for CDEV&amp;RPrinted on &amp;D</oddHeader>
    <oddFooter>&amp;L&amp;BGenerated By: Office of Institutional Research&amp;RPage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C34" sqref="C34:J34"/>
    </sheetView>
  </sheetViews>
  <sheetFormatPr defaultRowHeight="12.75" x14ac:dyDescent="0.2"/>
  <cols>
    <col min="1" max="1" width="14" customWidth="1"/>
    <col min="2" max="2" width="13" customWidth="1"/>
    <col min="3" max="4" width="15" customWidth="1"/>
    <col min="5" max="5" width="13" customWidth="1"/>
    <col min="6" max="7" width="15" customWidth="1"/>
    <col min="8" max="8" width="13" customWidth="1"/>
    <col min="9" max="10" width="15" customWidth="1"/>
  </cols>
  <sheetData>
    <row r="1" spans="1:10" ht="21" x14ac:dyDescent="0.35">
      <c r="A1" s="23" t="s">
        <v>52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5.75" x14ac:dyDescent="0.25">
      <c r="A2" s="25" t="s">
        <v>53</v>
      </c>
      <c r="B2" s="24"/>
      <c r="C2" s="24"/>
      <c r="D2" s="24"/>
      <c r="E2" s="24"/>
      <c r="F2" s="24"/>
      <c r="G2" s="24"/>
      <c r="H2" s="24"/>
      <c r="I2" s="24"/>
      <c r="J2" s="24"/>
    </row>
    <row r="4" spans="1:10" x14ac:dyDescent="0.2">
      <c r="A4" s="2" t="s">
        <v>13</v>
      </c>
      <c r="B4" s="2" t="s">
        <v>54</v>
      </c>
      <c r="C4" s="2" t="s">
        <v>55</v>
      </c>
      <c r="D4" s="2" t="s">
        <v>56</v>
      </c>
      <c r="E4" s="1"/>
      <c r="F4" s="1"/>
    </row>
    <row r="5" spans="1:10" x14ac:dyDescent="0.2">
      <c r="A5" s="3" t="s">
        <v>18</v>
      </c>
      <c r="B5" s="3">
        <f>SUMIFS(INDEX(course_data, 0, 16), INDEX(course_data, 0, 3), "=201510")</f>
        <v>1440</v>
      </c>
      <c r="C5" s="3">
        <f>SUMIFS(INDEX(course_data, 0, 17), INDEX(course_data, 0, 3), "=201510")</f>
        <v>2.6700000000000004</v>
      </c>
      <c r="D5" s="3">
        <f t="shared" ref="D5:D16" si="0">IF(B5=0, 0, ROUND((B5/C5), 2))</f>
        <v>539.33000000000004</v>
      </c>
    </row>
    <row r="6" spans="1:10" x14ac:dyDescent="0.2">
      <c r="A6" s="3" t="s">
        <v>19</v>
      </c>
      <c r="B6" s="4">
        <f>SUMIFS(INDEX(course_data, 0, 16), INDEX(course_data, 0, 3), "=201515")</f>
        <v>0</v>
      </c>
      <c r="C6" s="4">
        <f>SUMIFS(INDEX(course_data, 0, 17), INDEX(course_data, 0, 3), "=201515")</f>
        <v>0</v>
      </c>
      <c r="D6" s="4">
        <f t="shared" si="0"/>
        <v>0</v>
      </c>
    </row>
    <row r="7" spans="1:10" x14ac:dyDescent="0.2">
      <c r="A7" s="3" t="s">
        <v>20</v>
      </c>
      <c r="B7" s="3">
        <f>SUMIFS(INDEX(course_data, 0, 16), INDEX(course_data, 0, 3), "=201520")</f>
        <v>1526.175</v>
      </c>
      <c r="C7" s="3">
        <f>SUMIFS(INDEX(course_data, 0, 17), INDEX(course_data, 0, 3), "=201520")</f>
        <v>3.2499999999999996</v>
      </c>
      <c r="D7" s="3">
        <f t="shared" si="0"/>
        <v>469.59</v>
      </c>
    </row>
    <row r="8" spans="1:10" x14ac:dyDescent="0.2">
      <c r="A8" s="3" t="s">
        <v>21</v>
      </c>
      <c r="B8" s="4">
        <f>SUMIFS(INDEX(course_data, 0, 16), INDEX(course_data, 0, 3), "=201530")</f>
        <v>0</v>
      </c>
      <c r="C8" s="4">
        <f>SUMIFS(INDEX(course_data, 0, 17), INDEX(course_data, 0, 3), "=201530")</f>
        <v>0</v>
      </c>
      <c r="D8" s="4">
        <f t="shared" si="0"/>
        <v>0</v>
      </c>
    </row>
    <row r="9" spans="1:10" x14ac:dyDescent="0.2">
      <c r="A9" s="3" t="s">
        <v>22</v>
      </c>
      <c r="B9" s="3">
        <f>SUMIFS(INDEX(course_data, 0, 16), INDEX(course_data, 0, 3), "=201610")</f>
        <v>1494</v>
      </c>
      <c r="C9" s="3">
        <f>SUMIFS(INDEX(course_data, 0, 17), INDEX(course_data, 0, 3), "=201610")</f>
        <v>2.8600000000000003</v>
      </c>
      <c r="D9" s="3">
        <f t="shared" si="0"/>
        <v>522.38</v>
      </c>
    </row>
    <row r="10" spans="1:10" x14ac:dyDescent="0.2">
      <c r="A10" s="3" t="s">
        <v>23</v>
      </c>
      <c r="B10" s="4">
        <f>SUMIFS(INDEX(course_data, 0, 16), INDEX(course_data, 0, 3), "=201615")</f>
        <v>121.5</v>
      </c>
      <c r="C10" s="4">
        <f>SUMIFS(INDEX(course_data, 0, 17), INDEX(course_data, 0, 3), "=201615")</f>
        <v>0.2</v>
      </c>
      <c r="D10" s="4">
        <f t="shared" si="0"/>
        <v>607.5</v>
      </c>
    </row>
    <row r="11" spans="1:10" x14ac:dyDescent="0.2">
      <c r="A11" s="3" t="s">
        <v>24</v>
      </c>
      <c r="B11" s="3">
        <f>SUMIFS(INDEX(course_data, 0, 16), INDEX(course_data, 0, 3), "=201620")</f>
        <v>1624.5</v>
      </c>
      <c r="C11" s="3">
        <f>SUMIFS(INDEX(course_data, 0, 17), INDEX(course_data, 0, 3), "=201620")</f>
        <v>3.1900000000000004</v>
      </c>
      <c r="D11" s="3">
        <f t="shared" si="0"/>
        <v>509.25</v>
      </c>
    </row>
    <row r="12" spans="1:10" x14ac:dyDescent="0.2">
      <c r="A12" s="3" t="s">
        <v>25</v>
      </c>
      <c r="B12" s="4">
        <f>SUMIFS(INDEX(course_data, 0, 16), INDEX(course_data, 0, 3), "=201630")</f>
        <v>0</v>
      </c>
      <c r="C12" s="4">
        <f>SUMIFS(INDEX(course_data, 0, 17), INDEX(course_data, 0, 3), "=201630")</f>
        <v>0</v>
      </c>
      <c r="D12" s="4">
        <f t="shared" si="0"/>
        <v>0</v>
      </c>
    </row>
    <row r="13" spans="1:10" x14ac:dyDescent="0.2">
      <c r="A13" s="3" t="s">
        <v>26</v>
      </c>
      <c r="B13" s="3">
        <f>SUMIFS(INDEX(course_data, 0, 16), INDEX(course_data, 0, 3), "=201710")</f>
        <v>1459.125</v>
      </c>
      <c r="C13" s="3">
        <f>SUMIFS(INDEX(course_data, 0, 17), INDEX(course_data, 0, 3), "=201710")</f>
        <v>2.4700000000000002</v>
      </c>
      <c r="D13" s="3">
        <f t="shared" si="0"/>
        <v>590.74</v>
      </c>
    </row>
    <row r="14" spans="1:10" x14ac:dyDescent="0.2">
      <c r="A14" s="3" t="s">
        <v>27</v>
      </c>
      <c r="B14" s="4">
        <f>SUMIFS(INDEX(course_data, 0, 16), INDEX(course_data, 0, 3), "=201715")</f>
        <v>193.5</v>
      </c>
      <c r="C14" s="4">
        <f>SUMIFS(INDEX(course_data, 0, 17), INDEX(course_data, 0, 3), "=201715")</f>
        <v>0.33</v>
      </c>
      <c r="D14" s="4">
        <f t="shared" si="0"/>
        <v>586.36</v>
      </c>
    </row>
    <row r="15" spans="1:10" x14ac:dyDescent="0.2">
      <c r="A15" s="3" t="s">
        <v>28</v>
      </c>
      <c r="B15" s="3">
        <f>SUMIFS(INDEX(course_data, 0, 16), INDEX(course_data, 0, 3), "=201720")</f>
        <v>1665</v>
      </c>
      <c r="C15" s="3">
        <f>SUMIFS(INDEX(course_data, 0, 17), INDEX(course_data, 0, 3), "=201720")</f>
        <v>2.91</v>
      </c>
      <c r="D15" s="3">
        <f t="shared" si="0"/>
        <v>572.16</v>
      </c>
    </row>
    <row r="16" spans="1:10" x14ac:dyDescent="0.2">
      <c r="A16" s="3" t="s">
        <v>29</v>
      </c>
      <c r="B16" s="4">
        <f>SUMIFS(INDEX(course_data, 0, 16), INDEX(course_data, 0, 3), "=201730")</f>
        <v>54</v>
      </c>
      <c r="C16" s="4">
        <f>SUMIFS(INDEX(course_data, 0, 17), INDEX(course_data, 0, 3), "=201730")</f>
        <v>0.13</v>
      </c>
      <c r="D16" s="4">
        <f t="shared" si="0"/>
        <v>415.38</v>
      </c>
    </row>
    <row r="19" spans="1:10" x14ac:dyDescent="0.2">
      <c r="A19" s="2" t="s">
        <v>31</v>
      </c>
      <c r="B19" s="2" t="s">
        <v>54</v>
      </c>
      <c r="C19" s="2" t="s">
        <v>55</v>
      </c>
      <c r="D19" s="2" t="s">
        <v>56</v>
      </c>
      <c r="E19" s="1"/>
      <c r="F19" s="1"/>
    </row>
    <row r="20" spans="1:10" x14ac:dyDescent="0.2">
      <c r="A20" s="3" t="s">
        <v>57</v>
      </c>
      <c r="B20" s="4">
        <f>SUMIFS(INDEX(course_data, 0, 16), INDEX(course_data, 0, 1), "=2014-2015")</f>
        <v>2966.1750000000002</v>
      </c>
      <c r="C20" s="4">
        <f>SUMIFS(INDEX(course_data, 0, 17), INDEX(course_data, 0, 1), "=2014-2015")</f>
        <v>5.92</v>
      </c>
      <c r="D20" s="4">
        <f>IF(B20=0, 0, ROUND((B20/C20), 2))</f>
        <v>501.04</v>
      </c>
    </row>
    <row r="21" spans="1:10" x14ac:dyDescent="0.2">
      <c r="A21" s="3" t="s">
        <v>58</v>
      </c>
      <c r="B21" s="3">
        <f>SUMIFS(INDEX(course_data, 0, 16), INDEX(course_data, 0, 1), "=2015-2016")</f>
        <v>3240</v>
      </c>
      <c r="C21" s="3">
        <f>SUMIFS(INDEX(course_data, 0, 17), INDEX(course_data, 0, 1), "=2015-2016")</f>
        <v>6.2500000000000018</v>
      </c>
      <c r="D21" s="3">
        <f>IF(B21=0, 0, ROUND((B21/C21), 2))</f>
        <v>518.4</v>
      </c>
    </row>
    <row r="22" spans="1:10" x14ac:dyDescent="0.2">
      <c r="A22" s="3" t="s">
        <v>59</v>
      </c>
      <c r="B22" s="4">
        <f>SUMIFS(INDEX(course_data, 0, 16), INDEX(course_data, 0, 1), "=2016-2017")</f>
        <v>3371.625</v>
      </c>
      <c r="C22" s="4">
        <f>SUMIFS(INDEX(course_data, 0, 17), INDEX(course_data, 0, 1), "=2016-2017")</f>
        <v>5.84</v>
      </c>
      <c r="D22" s="4">
        <f>IF(B22=0, 0, ROUND((B22/C22), 2))</f>
        <v>577.33000000000004</v>
      </c>
    </row>
    <row r="25" spans="1:10" ht="21" x14ac:dyDescent="0.35">
      <c r="A25" s="30" t="s">
        <v>60</v>
      </c>
      <c r="B25" s="31"/>
      <c r="C25" s="31"/>
      <c r="D25" s="31"/>
      <c r="E25" s="31"/>
      <c r="F25" s="31"/>
      <c r="G25" s="31"/>
      <c r="H25" s="31"/>
      <c r="I25" s="31"/>
      <c r="J25" s="31"/>
    </row>
    <row r="26" spans="1:10" ht="21" x14ac:dyDescent="0.35">
      <c r="A26" s="30" t="s">
        <v>61</v>
      </c>
      <c r="B26" s="31"/>
      <c r="C26" s="31"/>
      <c r="D26" s="31"/>
      <c r="E26" s="31"/>
      <c r="F26" s="31"/>
      <c r="G26" s="31"/>
      <c r="H26" s="31"/>
      <c r="I26" s="31"/>
      <c r="J26" s="31"/>
    </row>
    <row r="29" spans="1:10" ht="21" x14ac:dyDescent="0.35">
      <c r="A29" s="23" t="s">
        <v>35</v>
      </c>
      <c r="B29" s="24"/>
      <c r="C29" s="24"/>
      <c r="D29" s="24"/>
      <c r="E29" s="24"/>
      <c r="F29" s="24"/>
      <c r="G29" s="24"/>
      <c r="H29" s="24"/>
      <c r="I29" s="24"/>
      <c r="J29" s="24"/>
    </row>
    <row r="31" spans="1:10" x14ac:dyDescent="0.2">
      <c r="A31" s="27" t="s">
        <v>36</v>
      </c>
      <c r="B31" s="28"/>
      <c r="C31" s="32" t="s">
        <v>37</v>
      </c>
      <c r="D31" s="29"/>
      <c r="E31" s="29"/>
      <c r="F31" s="29"/>
      <c r="G31" s="29"/>
      <c r="H31" s="29"/>
      <c r="I31" s="29"/>
      <c r="J31" s="29"/>
    </row>
    <row r="32" spans="1:10" ht="39.950000000000003" customHeight="1" x14ac:dyDescent="0.2">
      <c r="A32" s="33" t="s">
        <v>62</v>
      </c>
      <c r="B32" s="28"/>
      <c r="C32" s="34" t="s">
        <v>63</v>
      </c>
      <c r="D32" s="29"/>
      <c r="E32" s="29"/>
      <c r="F32" s="29"/>
      <c r="G32" s="29"/>
      <c r="H32" s="29"/>
      <c r="I32" s="29"/>
      <c r="J32" s="29"/>
    </row>
    <row r="33" spans="1:10" ht="30" customHeight="1" x14ac:dyDescent="0.2">
      <c r="A33" s="33" t="s">
        <v>64</v>
      </c>
      <c r="B33" s="28"/>
      <c r="C33" s="34" t="s">
        <v>65</v>
      </c>
      <c r="D33" s="29"/>
      <c r="E33" s="29"/>
      <c r="F33" s="29"/>
      <c r="G33" s="29"/>
      <c r="H33" s="29"/>
      <c r="I33" s="29"/>
      <c r="J33" s="29"/>
    </row>
    <row r="34" spans="1:10" ht="30" customHeight="1" x14ac:dyDescent="0.2">
      <c r="A34" s="35" t="s">
        <v>66</v>
      </c>
      <c r="B34" s="28"/>
      <c r="C34" s="34" t="s">
        <v>67</v>
      </c>
      <c r="D34" s="29"/>
      <c r="E34" s="29"/>
      <c r="F34" s="29"/>
      <c r="G34" s="29"/>
      <c r="H34" s="29"/>
      <c r="I34" s="29"/>
      <c r="J34" s="29"/>
    </row>
  </sheetData>
  <sheetProtection formatCells="0" formatColumns="0" formatRows="0" insertColumns="0" insertRows="0" insertHyperlinks="0" deleteColumns="0" deleteRows="0" sort="0" autoFilter="0" pivotTables="0"/>
  <mergeCells count="13">
    <mergeCell ref="A34:B34"/>
    <mergeCell ref="C34:J34"/>
    <mergeCell ref="A31:B31"/>
    <mergeCell ref="C31:J31"/>
    <mergeCell ref="A32:B32"/>
    <mergeCell ref="C32:J32"/>
    <mergeCell ref="A33:B33"/>
    <mergeCell ref="C33:J33"/>
    <mergeCell ref="A1:J1"/>
    <mergeCell ref="A2:J2"/>
    <mergeCell ref="A25:J25"/>
    <mergeCell ref="A26:J26"/>
    <mergeCell ref="A29:J29"/>
  </mergeCells>
  <pageMargins left="0.4" right="0.4" top="0.6" bottom="0.6" header="0.3" footer="0.3"/>
  <pageSetup orientation="landscape"/>
  <headerFooter>
    <oddHeader>&amp;L&amp;B2017-2018 IVC Research Report for CDEV&amp;RPrinted on &amp;D</oddHeader>
    <oddFooter>&amp;L&amp;BGenerated By: Office of Institutional Research&amp;RPage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A36" sqref="A36:B36"/>
    </sheetView>
  </sheetViews>
  <sheetFormatPr defaultRowHeight="12.75" x14ac:dyDescent="0.2"/>
  <cols>
    <col min="1" max="1" width="16" customWidth="1"/>
    <col min="2" max="2" width="13" customWidth="1"/>
    <col min="3" max="4" width="15" customWidth="1"/>
    <col min="5" max="5" width="13" customWidth="1"/>
    <col min="6" max="7" width="15" customWidth="1"/>
    <col min="8" max="8" width="13" customWidth="1"/>
    <col min="9" max="10" width="15" customWidth="1"/>
  </cols>
  <sheetData>
    <row r="1" spans="1:10" ht="21" x14ac:dyDescent="0.35">
      <c r="A1" s="23" t="s">
        <v>68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5.75" x14ac:dyDescent="0.25">
      <c r="A2" s="25" t="s">
        <v>69</v>
      </c>
      <c r="B2" s="24"/>
      <c r="C2" s="24"/>
      <c r="D2" s="24"/>
      <c r="E2" s="24"/>
      <c r="F2" s="24"/>
      <c r="G2" s="24"/>
      <c r="H2" s="24"/>
      <c r="I2" s="24"/>
      <c r="J2" s="24"/>
    </row>
    <row r="4" spans="1:10" x14ac:dyDescent="0.2">
      <c r="B4" s="26" t="s">
        <v>10</v>
      </c>
      <c r="C4" s="26"/>
      <c r="D4" s="26"/>
      <c r="E4" s="26" t="s">
        <v>11</v>
      </c>
      <c r="F4" s="26"/>
      <c r="G4" s="26"/>
      <c r="H4" s="26" t="s">
        <v>12</v>
      </c>
      <c r="I4" s="26"/>
      <c r="J4" s="26"/>
    </row>
    <row r="5" spans="1:10" x14ac:dyDescent="0.2">
      <c r="A5" s="2" t="s">
        <v>13</v>
      </c>
      <c r="B5" s="2" t="s">
        <v>70</v>
      </c>
      <c r="C5" s="2" t="s">
        <v>71</v>
      </c>
      <c r="D5" s="2" t="s">
        <v>72</v>
      </c>
      <c r="E5" s="2" t="s">
        <v>70</v>
      </c>
      <c r="F5" s="2" t="s">
        <v>71</v>
      </c>
      <c r="G5" s="2" t="s">
        <v>72</v>
      </c>
      <c r="H5" s="2" t="s">
        <v>70</v>
      </c>
      <c r="I5" s="2" t="s">
        <v>71</v>
      </c>
      <c r="J5" s="2" t="s">
        <v>72</v>
      </c>
    </row>
    <row r="6" spans="1:10" x14ac:dyDescent="0.2">
      <c r="A6" s="3" t="s">
        <v>18</v>
      </c>
      <c r="B6" s="4">
        <f>SUMIFS(INDEX(course_data, 0, 10), INDEX(course_data, 0, 3), "=201510", INDEX(course_data, 0, 6), "=day")</f>
        <v>271</v>
      </c>
      <c r="C6" s="5">
        <f>IF(B6=0, 0, ((SUMIFS(INDEX(course_data, 0, 11), INDEX(course_data, 0, 3), "=201510", INDEX(course_data, 0, 6), "=day"))/B6))</f>
        <v>0.65682656826568264</v>
      </c>
      <c r="D6" s="5">
        <f>IF(B6=0, 0, ((SUMIFS(INDEX(course_data, 0, 13), INDEX(course_data, 0, 3), "=201510", INDEX(course_data, 0, 6), "=day"))/B6))</f>
        <v>0.84132841328413288</v>
      </c>
      <c r="E6" s="4">
        <f>SUMIFS(INDEX(course_data, 0, 10), INDEX(course_data, 0, 3), "=201510", INDEX(course_data, 0, 6), "=ex_day")</f>
        <v>146</v>
      </c>
      <c r="F6" s="5">
        <f>IF(E6=0, 0, ((SUMIFS(INDEX(course_data, 0, 11), INDEX(course_data, 0, 3), "=201510", INDEX(course_data, 0, 6), "=ex_day"))/E6))</f>
        <v>0.71232876712328763</v>
      </c>
      <c r="G6" s="5">
        <f>IF(E6=0, 0, ((SUMIFS(INDEX(course_data, 0, 13), INDEX(course_data, 0, 3), "=201510", INDEX(course_data, 0, 6), "=ex_day"))/E6))</f>
        <v>0.82191780821917804</v>
      </c>
      <c r="H6" s="4">
        <f>SUMIFS(INDEX(course_data, 0, 10), INDEX(course_data, 0, 3), "=201510", INDEX(course_data, 0, 6), "=online")</f>
        <v>38</v>
      </c>
      <c r="I6" s="5">
        <f>IF(H6=0, 0, ((SUMIFS(INDEX(course_data, 0, 11), INDEX(course_data, 0, 3), "=201510", INDEX(course_data, 0, 6), "=online"))/H6))</f>
        <v>0.73684210526315785</v>
      </c>
      <c r="J6" s="5">
        <f>IF(H6=0, 0, ((SUMIFS(INDEX(course_data, 0, 13), INDEX(course_data, 0, 3), "=201510", INDEX(course_data, 0, 6), "=online"))/H6))</f>
        <v>0.89473684210526316</v>
      </c>
    </row>
    <row r="7" spans="1:10" x14ac:dyDescent="0.2">
      <c r="A7" s="3" t="s">
        <v>19</v>
      </c>
      <c r="B7" s="3">
        <f>SUMIFS(INDEX(course_data, 0, 10), INDEX(course_data, 0, 3), "=201515", INDEX(course_data, 0, 6), "=day")</f>
        <v>0</v>
      </c>
      <c r="C7" s="6">
        <f>IF(B7=0, 0, ((SUMIFS(INDEX(course_data, 0, 11), INDEX(course_data, 0, 3), "=201515", INDEX(course_data, 0, 6), "=day"))/B7))</f>
        <v>0</v>
      </c>
      <c r="D7" s="6">
        <f>IF(B7=0, 0, ((SUMIFS(INDEX(course_data, 0, 13), INDEX(course_data, 0, 3), "=201515", INDEX(course_data, 0, 6), "=day"))/B7))</f>
        <v>0</v>
      </c>
      <c r="E7" s="3">
        <f>SUMIFS(INDEX(course_data, 0, 10), INDEX(course_data, 0, 3), "=201515", INDEX(course_data, 0, 6), "=ex_day")</f>
        <v>0</v>
      </c>
      <c r="F7" s="6">
        <f>IF(E7=0, 0, ((SUMIFS(INDEX(course_data, 0, 11), INDEX(course_data, 0, 3), "=201515", INDEX(course_data, 0, 6), "=ex_day"))/E7))</f>
        <v>0</v>
      </c>
      <c r="G7" s="6">
        <f>IF(E7=0, 0, ((SUMIFS(INDEX(course_data, 0, 13), INDEX(course_data, 0, 3), "=201515", INDEX(course_data, 0, 6), "=ex_day"))/E7))</f>
        <v>0</v>
      </c>
      <c r="H7" s="3">
        <f>SUMIFS(INDEX(course_data, 0, 10), INDEX(course_data, 0, 3), "=201515", INDEX(course_data, 0, 6), "=online")</f>
        <v>0</v>
      </c>
      <c r="I7" s="6">
        <f>IF(H7=0, 0, ((SUMIFS(INDEX(course_data, 0, 11), INDEX(course_data, 0, 3), "=201515", INDEX(course_data, 0, 6), "=online"))/H7))</f>
        <v>0</v>
      </c>
      <c r="J7" s="6">
        <f>IF(H7=0, 0, ((SUMIFS(INDEX(course_data, 0, 13), INDEX(course_data, 0, 3), "=201515", INDEX(course_data, 0, 6), "=online"))/H7))</f>
        <v>0</v>
      </c>
    </row>
    <row r="8" spans="1:10" x14ac:dyDescent="0.2">
      <c r="A8" s="3" t="s">
        <v>20</v>
      </c>
      <c r="B8" s="4">
        <f>SUMIFS(INDEX(course_data, 0, 10), INDEX(course_data, 0, 3), "=201520", INDEX(course_data, 0, 6), "=day")</f>
        <v>256</v>
      </c>
      <c r="C8" s="5">
        <f>IF(B8=0, 0, ((SUMIFS(INDEX(course_data, 0, 11), INDEX(course_data, 0, 3), "=201520", INDEX(course_data, 0, 6), "=day"))/B8))</f>
        <v>0.6484375</v>
      </c>
      <c r="D8" s="5">
        <f>IF(B8=0, 0, ((SUMIFS(INDEX(course_data, 0, 13), INDEX(course_data, 0, 3), "=201520", INDEX(course_data, 0, 6), "=day"))/B8))</f>
        <v>0.82421875</v>
      </c>
      <c r="E8" s="4">
        <f>SUMIFS(INDEX(course_data, 0, 10), INDEX(course_data, 0, 3), "=201520", INDEX(course_data, 0, 6), "=ex_day")</f>
        <v>162</v>
      </c>
      <c r="F8" s="5">
        <f>IF(E8=0, 0, ((SUMIFS(INDEX(course_data, 0, 11), INDEX(course_data, 0, 3), "=201520", INDEX(course_data, 0, 6), "=ex_day"))/E8))</f>
        <v>0.72222222222222221</v>
      </c>
      <c r="G8" s="5">
        <f>IF(E8=0, 0, ((SUMIFS(INDEX(course_data, 0, 13), INDEX(course_data, 0, 3), "=201520", INDEX(course_data, 0, 6), "=ex_day"))/E8))</f>
        <v>0.80864197530864201</v>
      </c>
      <c r="H8" s="4">
        <f>SUMIFS(INDEX(course_data, 0, 10), INDEX(course_data, 0, 3), "=201520", INDEX(course_data, 0, 6), "=online")</f>
        <v>35</v>
      </c>
      <c r="I8" s="5">
        <f>IF(H8=0, 0, ((SUMIFS(INDEX(course_data, 0, 11), INDEX(course_data, 0, 3), "=201520", INDEX(course_data, 0, 6), "=online"))/H8))</f>
        <v>0.65714285714285714</v>
      </c>
      <c r="J8" s="5">
        <f>IF(H8=0, 0, ((SUMIFS(INDEX(course_data, 0, 13), INDEX(course_data, 0, 3), "=201520", INDEX(course_data, 0, 6), "=online"))/H8))</f>
        <v>0.82857142857142863</v>
      </c>
    </row>
    <row r="9" spans="1:10" x14ac:dyDescent="0.2">
      <c r="A9" s="3" t="s">
        <v>21</v>
      </c>
      <c r="B9" s="3">
        <f>SUMIFS(INDEX(course_data, 0, 10), INDEX(course_data, 0, 3), "=201530", INDEX(course_data, 0, 6), "=day")</f>
        <v>0</v>
      </c>
      <c r="C9" s="6">
        <f>IF(B9=0, 0, ((SUMIFS(INDEX(course_data, 0, 11), INDEX(course_data, 0, 3), "=201530", INDEX(course_data, 0, 6), "=day"))/B9))</f>
        <v>0</v>
      </c>
      <c r="D9" s="6">
        <f>IF(B9=0, 0, ((SUMIFS(INDEX(course_data, 0, 13), INDEX(course_data, 0, 3), "=201530", INDEX(course_data, 0, 6), "=day"))/B9))</f>
        <v>0</v>
      </c>
      <c r="E9" s="3">
        <f>SUMIFS(INDEX(course_data, 0, 10), INDEX(course_data, 0, 3), "=201530", INDEX(course_data, 0, 6), "=ex_day")</f>
        <v>0</v>
      </c>
      <c r="F9" s="6">
        <f>IF(E9=0, 0, ((SUMIFS(INDEX(course_data, 0, 11), INDEX(course_data, 0, 3), "=201530", INDEX(course_data, 0, 6), "=ex_day"))/E9))</f>
        <v>0</v>
      </c>
      <c r="G9" s="6">
        <f>IF(E9=0, 0, ((SUMIFS(INDEX(course_data, 0, 13), INDEX(course_data, 0, 3), "=201530", INDEX(course_data, 0, 6), "=ex_day"))/E9))</f>
        <v>0</v>
      </c>
      <c r="H9" s="3">
        <f>SUMIFS(INDEX(course_data, 0, 10), INDEX(course_data, 0, 3), "=201530", INDEX(course_data, 0, 6), "=online")</f>
        <v>0</v>
      </c>
      <c r="I9" s="6">
        <f>IF(H9=0, 0, ((SUMIFS(INDEX(course_data, 0, 11), INDEX(course_data, 0, 3), "=201530", INDEX(course_data, 0, 6), "=online"))/H9))</f>
        <v>0</v>
      </c>
      <c r="J9" s="6">
        <f>IF(H9=0, 0, ((SUMIFS(INDEX(course_data, 0, 13), INDEX(course_data, 0, 3), "=201530", INDEX(course_data, 0, 6), "=online"))/H9))</f>
        <v>0</v>
      </c>
    </row>
    <row r="10" spans="1:10" x14ac:dyDescent="0.2">
      <c r="A10" s="3" t="s">
        <v>22</v>
      </c>
      <c r="B10" s="4">
        <f>SUMIFS(INDEX(course_data, 0, 10), INDEX(course_data, 0, 3), "=201610", INDEX(course_data, 0, 6), "=day")</f>
        <v>300</v>
      </c>
      <c r="C10" s="5">
        <f>IF(B10=0, 0, ((SUMIFS(INDEX(course_data, 0, 11), INDEX(course_data, 0, 3), "=201610", INDEX(course_data, 0, 6), "=day"))/B10))</f>
        <v>0.64333333333333331</v>
      </c>
      <c r="D10" s="5">
        <f>IF(B10=0, 0, ((SUMIFS(INDEX(course_data, 0, 13), INDEX(course_data, 0, 3), "=201610", INDEX(course_data, 0, 6), "=day"))/B10))</f>
        <v>0.8833333333333333</v>
      </c>
      <c r="E10" s="4">
        <f>SUMIFS(INDEX(course_data, 0, 10), INDEX(course_data, 0, 3), "=201610", INDEX(course_data, 0, 6), "=ex_day")</f>
        <v>132</v>
      </c>
      <c r="F10" s="5">
        <f>IF(E10=0, 0, ((SUMIFS(INDEX(course_data, 0, 11), INDEX(course_data, 0, 3), "=201610", INDEX(course_data, 0, 6), "=ex_day"))/E10))</f>
        <v>0.71969696969696972</v>
      </c>
      <c r="G10" s="5">
        <f>IF(E10=0, 0, ((SUMIFS(INDEX(course_data, 0, 13), INDEX(course_data, 0, 3), "=201610", INDEX(course_data, 0, 6), "=ex_day"))/E10))</f>
        <v>0.89393939393939392</v>
      </c>
      <c r="H10" s="4">
        <f>SUMIFS(INDEX(course_data, 0, 10), INDEX(course_data, 0, 3), "=201610", INDEX(course_data, 0, 6), "=online")</f>
        <v>36</v>
      </c>
      <c r="I10" s="5">
        <f>IF(H10=0, 0, ((SUMIFS(INDEX(course_data, 0, 11), INDEX(course_data, 0, 3), "=201610", INDEX(course_data, 0, 6), "=online"))/H10))</f>
        <v>0.66666666666666663</v>
      </c>
      <c r="J10" s="5">
        <f>IF(H10=0, 0, ((SUMIFS(INDEX(course_data, 0, 13), INDEX(course_data, 0, 3), "=201610", INDEX(course_data, 0, 6), "=online"))/H10))</f>
        <v>0.80555555555555558</v>
      </c>
    </row>
    <row r="11" spans="1:10" x14ac:dyDescent="0.2">
      <c r="A11" s="3" t="s">
        <v>23</v>
      </c>
      <c r="B11" s="3">
        <f>SUMIFS(INDEX(course_data, 0, 10), INDEX(course_data, 0, 3), "=201615", INDEX(course_data, 0, 6), "=day")</f>
        <v>36</v>
      </c>
      <c r="C11" s="6">
        <f>IF(B11=0, 0, ((SUMIFS(INDEX(course_data, 0, 11), INDEX(course_data, 0, 3), "=201615", INDEX(course_data, 0, 6), "=day"))/B11))</f>
        <v>0.94444444444444442</v>
      </c>
      <c r="D11" s="6">
        <f>IF(B11=0, 0, ((SUMIFS(INDEX(course_data, 0, 13), INDEX(course_data, 0, 3), "=201615", INDEX(course_data, 0, 6), "=day"))/B11))</f>
        <v>1</v>
      </c>
      <c r="E11" s="3">
        <f>SUMIFS(INDEX(course_data, 0, 10), INDEX(course_data, 0, 3), "=201615", INDEX(course_data, 0, 6), "=ex_day")</f>
        <v>0</v>
      </c>
      <c r="F11" s="6">
        <f>IF(E11=0, 0, ((SUMIFS(INDEX(course_data, 0, 11), INDEX(course_data, 0, 3), "=201615", INDEX(course_data, 0, 6), "=ex_day"))/E11))</f>
        <v>0</v>
      </c>
      <c r="G11" s="6">
        <f>IF(E11=0, 0, ((SUMIFS(INDEX(course_data, 0, 13), INDEX(course_data, 0, 3), "=201615", INDEX(course_data, 0, 6), "=ex_day"))/E11))</f>
        <v>0</v>
      </c>
      <c r="H11" s="3">
        <f>SUMIFS(INDEX(course_data, 0, 10), INDEX(course_data, 0, 3), "=201615", INDEX(course_data, 0, 6), "=online")</f>
        <v>0</v>
      </c>
      <c r="I11" s="6">
        <f>IF(H11=0, 0, ((SUMIFS(INDEX(course_data, 0, 11), INDEX(course_data, 0, 3), "=201615", INDEX(course_data, 0, 6), "=online"))/H11))</f>
        <v>0</v>
      </c>
      <c r="J11" s="6">
        <f>IF(H11=0, 0, ((SUMIFS(INDEX(course_data, 0, 13), INDEX(course_data, 0, 3), "=201615", INDEX(course_data, 0, 6), "=online"))/H11))</f>
        <v>0</v>
      </c>
    </row>
    <row r="12" spans="1:10" x14ac:dyDescent="0.2">
      <c r="A12" s="3" t="s">
        <v>24</v>
      </c>
      <c r="B12" s="4">
        <f>SUMIFS(INDEX(course_data, 0, 10), INDEX(course_data, 0, 3), "=201620", INDEX(course_data, 0, 6), "=day")</f>
        <v>352</v>
      </c>
      <c r="C12" s="5">
        <f>IF(B12=0, 0, ((SUMIFS(INDEX(course_data, 0, 11), INDEX(course_data, 0, 3), "=201620", INDEX(course_data, 0, 6), "=day"))/B12))</f>
        <v>0.67613636363636365</v>
      </c>
      <c r="D12" s="5">
        <f>IF(B12=0, 0, ((SUMIFS(INDEX(course_data, 0, 13), INDEX(course_data, 0, 3), "=201620", INDEX(course_data, 0, 6), "=day"))/B12))</f>
        <v>0.88068181818181823</v>
      </c>
      <c r="E12" s="4">
        <f>SUMIFS(INDEX(course_data, 0, 10), INDEX(course_data, 0, 3), "=201620", INDEX(course_data, 0, 6), "=ex_day")</f>
        <v>83</v>
      </c>
      <c r="F12" s="5">
        <f>IF(E12=0, 0, ((SUMIFS(INDEX(course_data, 0, 11), INDEX(course_data, 0, 3), "=201620", INDEX(course_data, 0, 6), "=ex_day"))/E12))</f>
        <v>0.85542168674698793</v>
      </c>
      <c r="G12" s="5">
        <f>IF(E12=0, 0, ((SUMIFS(INDEX(course_data, 0, 13), INDEX(course_data, 0, 3), "=201620", INDEX(course_data, 0, 6), "=ex_day"))/E12))</f>
        <v>0.93975903614457834</v>
      </c>
      <c r="H12" s="4">
        <f>SUMIFS(INDEX(course_data, 0, 10), INDEX(course_data, 0, 3), "=201620", INDEX(course_data, 0, 6), "=online")</f>
        <v>40</v>
      </c>
      <c r="I12" s="5">
        <f>IF(H12=0, 0, ((SUMIFS(INDEX(course_data, 0, 11), INDEX(course_data, 0, 3), "=201620", INDEX(course_data, 0, 6), "=online"))/H12))</f>
        <v>0.7</v>
      </c>
      <c r="J12" s="5">
        <f>IF(H12=0, 0, ((SUMIFS(INDEX(course_data, 0, 13), INDEX(course_data, 0, 3), "=201620", INDEX(course_data, 0, 6), "=online"))/H12))</f>
        <v>0.8</v>
      </c>
    </row>
    <row r="13" spans="1:10" x14ac:dyDescent="0.2">
      <c r="A13" s="3" t="s">
        <v>25</v>
      </c>
      <c r="B13" s="3">
        <f>SUMIFS(INDEX(course_data, 0, 10), INDEX(course_data, 0, 3), "=201630", INDEX(course_data, 0, 6), "=day")</f>
        <v>0</v>
      </c>
      <c r="C13" s="6">
        <f>IF(B13=0, 0, ((SUMIFS(INDEX(course_data, 0, 11), INDEX(course_data, 0, 3), "=201630", INDEX(course_data, 0, 6), "=day"))/B13))</f>
        <v>0</v>
      </c>
      <c r="D13" s="6">
        <f>IF(B13=0, 0, ((SUMIFS(INDEX(course_data, 0, 13), INDEX(course_data, 0, 3), "=201630", INDEX(course_data, 0, 6), "=day"))/B13))</f>
        <v>0</v>
      </c>
      <c r="E13" s="3">
        <f>SUMIFS(INDEX(course_data, 0, 10), INDEX(course_data, 0, 3), "=201630", INDEX(course_data, 0, 6), "=ex_day")</f>
        <v>0</v>
      </c>
      <c r="F13" s="6">
        <f>IF(E13=0, 0, ((SUMIFS(INDEX(course_data, 0, 11), INDEX(course_data, 0, 3), "=201630", INDEX(course_data, 0, 6), "=ex_day"))/E13))</f>
        <v>0</v>
      </c>
      <c r="G13" s="6">
        <f>IF(E13=0, 0, ((SUMIFS(INDEX(course_data, 0, 13), INDEX(course_data, 0, 3), "=201630", INDEX(course_data, 0, 6), "=ex_day"))/E13))</f>
        <v>0</v>
      </c>
      <c r="H13" s="3">
        <f>SUMIFS(INDEX(course_data, 0, 10), INDEX(course_data, 0, 3), "=201630", INDEX(course_data, 0, 6), "=online")</f>
        <v>0</v>
      </c>
      <c r="I13" s="6">
        <f>IF(H13=0, 0, ((SUMIFS(INDEX(course_data, 0, 11), INDEX(course_data, 0, 3), "=201630", INDEX(course_data, 0, 6), "=online"))/H13))</f>
        <v>0</v>
      </c>
      <c r="J13" s="6">
        <f>IF(H13=0, 0, ((SUMIFS(INDEX(course_data, 0, 13), INDEX(course_data, 0, 3), "=201630", INDEX(course_data, 0, 6), "=online"))/H13))</f>
        <v>0</v>
      </c>
    </row>
    <row r="14" spans="1:10" x14ac:dyDescent="0.2">
      <c r="A14" s="3" t="s">
        <v>26</v>
      </c>
      <c r="B14" s="4">
        <f>SUMIFS(INDEX(course_data, 0, 10), INDEX(course_data, 0, 3), "=201710", INDEX(course_data, 0, 6), "=day")</f>
        <v>242</v>
      </c>
      <c r="C14" s="5">
        <f>IF(B14=0, 0, ((SUMIFS(INDEX(course_data, 0, 11), INDEX(course_data, 0, 3), "=201710", INDEX(course_data, 0, 6), "=day"))/B14))</f>
        <v>0.85950413223140498</v>
      </c>
      <c r="D14" s="5">
        <f>IF(B14=0, 0, ((SUMIFS(INDEX(course_data, 0, 13), INDEX(course_data, 0, 3), "=201710", INDEX(course_data, 0, 6), "=day"))/B14))</f>
        <v>0.94628099173553715</v>
      </c>
      <c r="E14" s="4">
        <f>SUMIFS(INDEX(course_data, 0, 10), INDEX(course_data, 0, 3), "=201710", INDEX(course_data, 0, 6), "=ex_day")</f>
        <v>181</v>
      </c>
      <c r="F14" s="5">
        <f>IF(E14=0, 0, ((SUMIFS(INDEX(course_data, 0, 11), INDEX(course_data, 0, 3), "=201710", INDEX(course_data, 0, 6), "=ex_day"))/E14))</f>
        <v>0.86740331491712708</v>
      </c>
      <c r="G14" s="5">
        <f>IF(E14=0, 0, ((SUMIFS(INDEX(course_data, 0, 13), INDEX(course_data, 0, 3), "=201710", INDEX(course_data, 0, 6), "=ex_day"))/E14))</f>
        <v>0.90607734806629836</v>
      </c>
      <c r="H14" s="4">
        <f>SUMIFS(INDEX(course_data, 0, 10), INDEX(course_data, 0, 3), "=201710", INDEX(course_data, 0, 6), "=online")</f>
        <v>45</v>
      </c>
      <c r="I14" s="5">
        <f>IF(H14=0, 0, ((SUMIFS(INDEX(course_data, 0, 11), INDEX(course_data, 0, 3), "=201710", INDEX(course_data, 0, 6), "=online"))/H14))</f>
        <v>0.73333333333333328</v>
      </c>
      <c r="J14" s="5">
        <f>IF(H14=0, 0, ((SUMIFS(INDEX(course_data, 0, 13), INDEX(course_data, 0, 3), "=201710", INDEX(course_data, 0, 6), "=online"))/H14))</f>
        <v>0.84444444444444444</v>
      </c>
    </row>
    <row r="15" spans="1:10" x14ac:dyDescent="0.2">
      <c r="A15" s="3" t="s">
        <v>27</v>
      </c>
      <c r="B15" s="3">
        <f>SUMIFS(INDEX(course_data, 0, 10), INDEX(course_data, 0, 3), "=201715", INDEX(course_data, 0, 6), "=day")</f>
        <v>69</v>
      </c>
      <c r="C15" s="6">
        <f>IF(B15=0, 0, ((SUMIFS(INDEX(course_data, 0, 11), INDEX(course_data, 0, 3), "=201715", INDEX(course_data, 0, 6), "=day"))/B15))</f>
        <v>0.97101449275362317</v>
      </c>
      <c r="D15" s="6">
        <f>IF(B15=0, 0, ((SUMIFS(INDEX(course_data, 0, 13), INDEX(course_data, 0, 3), "=201715", INDEX(course_data, 0, 6), "=day"))/B15))</f>
        <v>0.97101449275362317</v>
      </c>
      <c r="E15" s="3">
        <f>SUMIFS(INDEX(course_data, 0, 10), INDEX(course_data, 0, 3), "=201715", INDEX(course_data, 0, 6), "=ex_day")</f>
        <v>0</v>
      </c>
      <c r="F15" s="6">
        <f>IF(E15=0, 0, ((SUMIFS(INDEX(course_data, 0, 11), INDEX(course_data, 0, 3), "=201715", INDEX(course_data, 0, 6), "=ex_day"))/E15))</f>
        <v>0</v>
      </c>
      <c r="G15" s="6">
        <f>IF(E15=0, 0, ((SUMIFS(INDEX(course_data, 0, 13), INDEX(course_data, 0, 3), "=201715", INDEX(course_data, 0, 6), "=ex_day"))/E15))</f>
        <v>0</v>
      </c>
      <c r="H15" s="3">
        <f>SUMIFS(INDEX(course_data, 0, 10), INDEX(course_data, 0, 3), "=201715", INDEX(course_data, 0, 6), "=online")</f>
        <v>0</v>
      </c>
      <c r="I15" s="6">
        <f>IF(H15=0, 0, ((SUMIFS(INDEX(course_data, 0, 11), INDEX(course_data, 0, 3), "=201715", INDEX(course_data, 0, 6), "=online"))/H15))</f>
        <v>0</v>
      </c>
      <c r="J15" s="6">
        <f>IF(H15=0, 0, ((SUMIFS(INDEX(course_data, 0, 13), INDEX(course_data, 0, 3), "=201715", INDEX(course_data, 0, 6), "=online"))/H15))</f>
        <v>0</v>
      </c>
    </row>
    <row r="16" spans="1:10" x14ac:dyDescent="0.2">
      <c r="A16" s="3" t="s">
        <v>28</v>
      </c>
      <c r="B16" s="4">
        <f>SUMIFS(INDEX(course_data, 0, 10), INDEX(course_data, 0, 3), "=201720", INDEX(course_data, 0, 6), "=day")</f>
        <v>153</v>
      </c>
      <c r="C16" s="5">
        <f>IF(B16=0, 0, ((SUMIFS(INDEX(course_data, 0, 11), INDEX(course_data, 0, 3), "=201720", INDEX(course_data, 0, 6), "=day"))/B16))</f>
        <v>0.91503267973856206</v>
      </c>
      <c r="D16" s="5">
        <f>IF(B16=0, 0, ((SUMIFS(INDEX(course_data, 0, 13), INDEX(course_data, 0, 3), "=201720", INDEX(course_data, 0, 6), "=day"))/B16))</f>
        <v>0.94771241830065356</v>
      </c>
      <c r="E16" s="4">
        <f>SUMIFS(INDEX(course_data, 0, 10), INDEX(course_data, 0, 3), "=201720", INDEX(course_data, 0, 6), "=ex_day")</f>
        <v>235</v>
      </c>
      <c r="F16" s="5">
        <f>IF(E16=0, 0, ((SUMIFS(INDEX(course_data, 0, 11), INDEX(course_data, 0, 3), "=201720", INDEX(course_data, 0, 6), "=ex_day"))/E16))</f>
        <v>0.8595744680851064</v>
      </c>
      <c r="G16" s="5">
        <f>IF(E16=0, 0, ((SUMIFS(INDEX(course_data, 0, 13), INDEX(course_data, 0, 3), "=201720", INDEX(course_data, 0, 6), "=ex_day"))/E16))</f>
        <v>0.93191489361702129</v>
      </c>
      <c r="H16" s="4">
        <f>SUMIFS(INDEX(course_data, 0, 10), INDEX(course_data, 0, 3), "=201720", INDEX(course_data, 0, 6), "=online")</f>
        <v>105</v>
      </c>
      <c r="I16" s="5">
        <f>IF(H16=0, 0, ((SUMIFS(INDEX(course_data, 0, 11), INDEX(course_data, 0, 3), "=201720", INDEX(course_data, 0, 6), "=online"))/H16))</f>
        <v>0.74285714285714288</v>
      </c>
      <c r="J16" s="5">
        <f>IF(H16=0, 0, ((SUMIFS(INDEX(course_data, 0, 13), INDEX(course_data, 0, 3), "=201720", INDEX(course_data, 0, 6), "=online"))/H16))</f>
        <v>0.90476190476190477</v>
      </c>
    </row>
    <row r="17" spans="1:10" x14ac:dyDescent="0.2">
      <c r="A17" s="3" t="s">
        <v>29</v>
      </c>
      <c r="B17" s="3">
        <f>SUMIFS(INDEX(course_data, 0, 10), INDEX(course_data, 0, 3), "=201730", INDEX(course_data, 0, 6), "=day")</f>
        <v>24</v>
      </c>
      <c r="C17" s="6">
        <f>IF(B17=0, 0, ((SUMIFS(INDEX(course_data, 0, 11), INDEX(course_data, 0, 3), "=201730", INDEX(course_data, 0, 6), "=day"))/B17))</f>
        <v>0.66666666666666663</v>
      </c>
      <c r="D17" s="6">
        <f>IF(B17=0, 0, ((SUMIFS(INDEX(course_data, 0, 13), INDEX(course_data, 0, 3), "=201730", INDEX(course_data, 0, 6), "=day"))/B17))</f>
        <v>1</v>
      </c>
      <c r="E17" s="3">
        <f>SUMIFS(INDEX(course_data, 0, 10), INDEX(course_data, 0, 3), "=201730", INDEX(course_data, 0, 6), "=ex_day")</f>
        <v>0</v>
      </c>
      <c r="F17" s="6">
        <f>IF(E17=0, 0, ((SUMIFS(INDEX(course_data, 0, 11), INDEX(course_data, 0, 3), "=201730", INDEX(course_data, 0, 6), "=ex_day"))/E17))</f>
        <v>0</v>
      </c>
      <c r="G17" s="6">
        <f>IF(E17=0, 0, ((SUMIFS(INDEX(course_data, 0, 13), INDEX(course_data, 0, 3), "=201730", INDEX(course_data, 0, 6), "=ex_day"))/E17))</f>
        <v>0</v>
      </c>
      <c r="H17" s="3">
        <f>SUMIFS(INDEX(course_data, 0, 10), INDEX(course_data, 0, 3), "=201730", INDEX(course_data, 0, 6), "=online")</f>
        <v>0</v>
      </c>
      <c r="I17" s="6">
        <f>IF(H17=0, 0, ((SUMIFS(INDEX(course_data, 0, 11), INDEX(course_data, 0, 3), "=201730", INDEX(course_data, 0, 6), "=online"))/H17))</f>
        <v>0</v>
      </c>
      <c r="J17" s="6">
        <f>IF(H17=0, 0, ((SUMIFS(INDEX(course_data, 0, 13), INDEX(course_data, 0, 3), "=201730", INDEX(course_data, 0, 6), "=online"))/H17))</f>
        <v>0</v>
      </c>
    </row>
    <row r="18" spans="1:10" x14ac:dyDescent="0.2">
      <c r="A18" s="7" t="s">
        <v>30</v>
      </c>
      <c r="B18" s="8">
        <f>SUM(B6:B17)</f>
        <v>1703</v>
      </c>
      <c r="C18" s="9">
        <f>IF(B18=0, 0, ((B6*C6)+(B7*C7)+(B8*C8)+(B9*C9)+(B10*C10)+(B11*C11)+(B12*C12)+(B13*C13)+(B14*C14)+(B15*C15)+(B16*C16)+(B17*C17))/B18)</f>
        <v>0.72812683499706399</v>
      </c>
      <c r="D18" s="9">
        <f>IF(B18=0, 0, ((B6*D6)+(B7*D7)+(B8*D8)+(B9*D9)+(B10*D10)+(B11*D11)+(B12*D12)+(B13*D13)+(B14*D14)+(B15*D15)+(B16*D16)+(B17*D17))/B18)</f>
        <v>0.8896065766294774</v>
      </c>
      <c r="E18" s="8">
        <f>SUM(E6:E17)</f>
        <v>939</v>
      </c>
      <c r="F18" s="9">
        <f>IF(E18=0, 0, ((E6*F6)+(E7*F7)+(E8*F8)+(E9*F9)+(E10*F10)+(E11*F11)+(E12*F12)+(E13*F13)+(E14*F14)+(E15*F15)+(E16*F16)+(E17*F17))/E18)</f>
        <v>0.79446219382321615</v>
      </c>
      <c r="G18" s="9">
        <f>IF(E18=0, 0, ((E6*G6)+(E7*G7)+(E8*G8)+(E9*G9)+(E10*G10)+(E11*G11)+(E12*G12)+(E13*G13)+(E14*G14)+(E15*G15)+(E16*G16)+(E17*G17))/E18)</f>
        <v>0.88391906283280086</v>
      </c>
      <c r="H18" s="8">
        <f>SUM(H6:H17)</f>
        <v>299</v>
      </c>
      <c r="I18" s="9">
        <f>IF(H18=0, 0, ((H6*I6)+(H7*I7)+(H8*I8)+(H9*I9)+(H10*I10)+(H11*I11)+(H12*I12)+(H13*I13)+(H14*I14)+(H15*I15)+(H16*I16)+(H17*I17))/H18)</f>
        <v>0.71571906354515047</v>
      </c>
      <c r="J18" s="9">
        <f>IF(H18=0, 0, ((H6*J6)+(H7*J7)+(H8*J8)+(H9*J9)+(H10*J10)+(H11*J11)+(H12*J12)+(H13*J13)+(H14*J14)+(H15*J15)+(H16*J16)+(H17*J17))/H18)</f>
        <v>0.85953177257525082</v>
      </c>
    </row>
    <row r="20" spans="1:10" x14ac:dyDescent="0.2">
      <c r="B20" s="26" t="s">
        <v>10</v>
      </c>
      <c r="C20" s="26"/>
      <c r="D20" s="26"/>
      <c r="E20" s="26" t="s">
        <v>11</v>
      </c>
      <c r="F20" s="26"/>
      <c r="G20" s="26"/>
      <c r="H20" s="26" t="s">
        <v>12</v>
      </c>
      <c r="I20" s="26"/>
      <c r="J20" s="26"/>
    </row>
    <row r="21" spans="1:10" x14ac:dyDescent="0.2">
      <c r="A21" s="2" t="s">
        <v>31</v>
      </c>
      <c r="B21" s="2" t="s">
        <v>70</v>
      </c>
      <c r="C21" s="2" t="s">
        <v>71</v>
      </c>
      <c r="D21" s="2" t="s">
        <v>72</v>
      </c>
      <c r="E21" s="2" t="s">
        <v>70</v>
      </c>
      <c r="F21" s="2" t="s">
        <v>71</v>
      </c>
      <c r="G21" s="2" t="s">
        <v>72</v>
      </c>
      <c r="H21" s="2" t="s">
        <v>70</v>
      </c>
      <c r="I21" s="2" t="s">
        <v>71</v>
      </c>
      <c r="J21" s="2" t="s">
        <v>72</v>
      </c>
    </row>
    <row r="22" spans="1:10" x14ac:dyDescent="0.2">
      <c r="A22" s="3" t="s">
        <v>57</v>
      </c>
      <c r="B22" s="4">
        <f>SUMIFS(INDEX(course_data, 0, 10), INDEX(course_data, 0, 1), "=2014-2015", INDEX(course_data, 0, 6), "=day")</f>
        <v>527</v>
      </c>
      <c r="C22" s="5">
        <f>IF(B22=0, 0, ((SUMIFS(INDEX(course_data, 0, 11), INDEX(course_data, 0, 1), "=2014-2015", INDEX(course_data, 0, 6), "=day"))/B22))</f>
        <v>0.65275142314990509</v>
      </c>
      <c r="D22" s="5">
        <f>IF(B22=0, 0, ((SUMIFS(INDEX(course_data, 0, 13), INDEX(course_data, 0, 1), "=2014-2015", INDEX(course_data, 0, 6), "=day"))/B22))</f>
        <v>0.83301707779886147</v>
      </c>
      <c r="E22" s="4">
        <f>SUMIFS(INDEX(course_data, 0, 10), INDEX(course_data, 0, 1), "=2014-2015", INDEX(course_data, 0, 6), "=ex_day")</f>
        <v>308</v>
      </c>
      <c r="F22" s="5">
        <f>IF(E22=0, 0, ((SUMIFS(INDEX(course_data, 0, 11), INDEX(course_data, 0, 1), "=2014-2015", INDEX(course_data, 0, 6), "=ex_day"))/E22))</f>
        <v>0.71753246753246758</v>
      </c>
      <c r="G22" s="5">
        <f>IF(E22=0, 0, ((SUMIFS(INDEX(course_data, 0, 13), INDEX(course_data, 0, 1), "=2014-2015", INDEX(course_data, 0, 6), "=ex_day"))/E22))</f>
        <v>0.81493506493506496</v>
      </c>
      <c r="H22" s="4">
        <f>SUMIFS(INDEX(course_data, 0, 10), INDEX(course_data, 0, 1), "=2014-2015", INDEX(course_data, 0, 6), "=online")</f>
        <v>73</v>
      </c>
      <c r="I22" s="5">
        <f>IF(H22=0, 0, ((SUMIFS(INDEX(course_data, 0, 11), INDEX(course_data, 0, 1), "=2014-2015", INDEX(course_data, 0, 6), "=online"))/H22))</f>
        <v>0.69863013698630139</v>
      </c>
      <c r="J22" s="5">
        <f>IF(H22=0, 0, ((SUMIFS(INDEX(course_data, 0, 13), INDEX(course_data, 0, 1), "=2014-2015", INDEX(course_data, 0, 6), "=online"))/H22))</f>
        <v>0.86301369863013699</v>
      </c>
    </row>
    <row r="23" spans="1:10" x14ac:dyDescent="0.2">
      <c r="A23" s="3" t="s">
        <v>58</v>
      </c>
      <c r="B23" s="3">
        <f>SUMIFS(INDEX(course_data, 0, 10), INDEX(course_data, 0, 1), "=2015-2016", INDEX(course_data, 0, 6), "=day")</f>
        <v>688</v>
      </c>
      <c r="C23" s="6">
        <f>IF(B23=0, 0, ((SUMIFS(INDEX(course_data, 0, 11), INDEX(course_data, 0, 1), "=2015-2016", INDEX(course_data, 0, 6), "=day"))/B23))</f>
        <v>0.67587209302325579</v>
      </c>
      <c r="D23" s="6">
        <f>IF(B23=0, 0, ((SUMIFS(INDEX(course_data, 0, 13), INDEX(course_data, 0, 1), "=2015-2016", INDEX(course_data, 0, 6), "=day"))/B23))</f>
        <v>0.88808139534883723</v>
      </c>
      <c r="E23" s="3">
        <f>SUMIFS(INDEX(course_data, 0, 10), INDEX(course_data, 0, 1), "=2015-2016", INDEX(course_data, 0, 6), "=ex_day")</f>
        <v>215</v>
      </c>
      <c r="F23" s="6">
        <f>IF(E23=0, 0, ((SUMIFS(INDEX(course_data, 0, 11), INDEX(course_data, 0, 1), "=2015-2016", INDEX(course_data, 0, 6), "=ex_day"))/E23))</f>
        <v>0.77209302325581397</v>
      </c>
      <c r="G23" s="6">
        <f>IF(E23=0, 0, ((SUMIFS(INDEX(course_data, 0, 13), INDEX(course_data, 0, 1), "=2015-2016", INDEX(course_data, 0, 6), "=ex_day"))/E23))</f>
        <v>0.91162790697674423</v>
      </c>
      <c r="H23" s="3">
        <f>SUMIFS(INDEX(course_data, 0, 10), INDEX(course_data, 0, 1), "=2015-2016", INDEX(course_data, 0, 6), "=online")</f>
        <v>76</v>
      </c>
      <c r="I23" s="6">
        <f>IF(H23=0, 0, ((SUMIFS(INDEX(course_data, 0, 11), INDEX(course_data, 0, 1), "=2015-2016", INDEX(course_data, 0, 6), "=online"))/H23))</f>
        <v>0.68421052631578949</v>
      </c>
      <c r="J23" s="6">
        <f>IF(H23=0, 0, ((SUMIFS(INDEX(course_data, 0, 13), INDEX(course_data, 0, 1), "=2015-2016", INDEX(course_data, 0, 6), "=online"))/H23))</f>
        <v>0.80263157894736847</v>
      </c>
    </row>
    <row r="24" spans="1:10" x14ac:dyDescent="0.2">
      <c r="A24" s="3" t="s">
        <v>59</v>
      </c>
      <c r="B24" s="4">
        <f>SUMIFS(INDEX(course_data, 0, 10), INDEX(course_data, 0, 1), "=2016-2017", INDEX(course_data, 0, 6), "=day")</f>
        <v>488</v>
      </c>
      <c r="C24" s="5">
        <f>IF(B24=0, 0, ((SUMIFS(INDEX(course_data, 0, 11), INDEX(course_data, 0, 1), "=2016-2017", INDEX(course_data, 0, 6), "=day"))/B24))</f>
        <v>0.88319672131147542</v>
      </c>
      <c r="D24" s="5">
        <f>IF(B24=0, 0, ((SUMIFS(INDEX(course_data, 0, 13), INDEX(course_data, 0, 1), "=2016-2017", INDEX(course_data, 0, 6), "=day"))/B24))</f>
        <v>0.95286885245901642</v>
      </c>
      <c r="E24" s="4">
        <f>SUMIFS(INDEX(course_data, 0, 10), INDEX(course_data, 0, 1), "=2016-2017", INDEX(course_data, 0, 6), "=ex_day")</f>
        <v>416</v>
      </c>
      <c r="F24" s="5">
        <f>IF(E24=0, 0, ((SUMIFS(INDEX(course_data, 0, 11), INDEX(course_data, 0, 1), "=2016-2017", INDEX(course_data, 0, 6), "=ex_day"))/E24))</f>
        <v>0.86298076923076927</v>
      </c>
      <c r="G24" s="5">
        <f>IF(E24=0, 0, ((SUMIFS(INDEX(course_data, 0, 13), INDEX(course_data, 0, 1), "=2016-2017", INDEX(course_data, 0, 6), "=ex_day"))/E24))</f>
        <v>0.92067307692307687</v>
      </c>
      <c r="H24" s="4">
        <f>SUMIFS(INDEX(course_data, 0, 10), INDEX(course_data, 0, 1), "=2016-2017", INDEX(course_data, 0, 6), "=online")</f>
        <v>150</v>
      </c>
      <c r="I24" s="5">
        <f>IF(H24=0, 0, ((SUMIFS(INDEX(course_data, 0, 11), INDEX(course_data, 0, 1), "=2016-2017", INDEX(course_data, 0, 6), "=online"))/H24))</f>
        <v>0.74</v>
      </c>
      <c r="J24" s="5">
        <f>IF(H24=0, 0, ((SUMIFS(INDEX(course_data, 0, 13), INDEX(course_data, 0, 1), "=2016-2017", INDEX(course_data, 0, 6), "=online"))/H24))</f>
        <v>0.88666666666666671</v>
      </c>
    </row>
    <row r="25" spans="1:10" x14ac:dyDescent="0.2">
      <c r="A25" s="7" t="s">
        <v>30</v>
      </c>
      <c r="B25" s="8">
        <f>SUM(B22:B24)</f>
        <v>1703</v>
      </c>
      <c r="C25" s="9">
        <f>IF(B25=0, 0, ((B22*C22)+(B23*C23)+(B24*C24))/B25)</f>
        <v>0.72812683499706399</v>
      </c>
      <c r="D25" s="9">
        <f>IF(B25=0, 0, ((B22*D22)+(B23*D23)+(B24*D24))/B25)</f>
        <v>0.8896065766294774</v>
      </c>
      <c r="E25" s="8">
        <f>SUM(E22:E24)</f>
        <v>939</v>
      </c>
      <c r="F25" s="9">
        <f>IF(E25=0, 0, ((E22*F22)+(E23*F23)+(E24*F24))/E25)</f>
        <v>0.79446219382321615</v>
      </c>
      <c r="G25" s="9">
        <f>IF(E25=0, 0, ((E22*G22)+(E23*G23)+(E24*G24))/E25)</f>
        <v>0.88391906283280086</v>
      </c>
      <c r="H25" s="8">
        <f>SUM(H22:H24)</f>
        <v>299</v>
      </c>
      <c r="I25" s="9">
        <f>IF(H25=0, 0, ((H22*I22)+(H23*I23)+(H24*I24))/H25)</f>
        <v>0.71571906354515047</v>
      </c>
      <c r="J25" s="9">
        <f>IF(H25=0, 0, ((H22*J22)+(H23*J23)+(H24*J24))/H25)</f>
        <v>0.85953177257525082</v>
      </c>
    </row>
    <row r="28" spans="1:10" ht="21" x14ac:dyDescent="0.35">
      <c r="A28" s="23" t="s">
        <v>35</v>
      </c>
      <c r="B28" s="24"/>
      <c r="C28" s="24"/>
      <c r="D28" s="24"/>
      <c r="E28" s="24"/>
      <c r="F28" s="24"/>
      <c r="G28" s="24"/>
      <c r="H28" s="24"/>
      <c r="I28" s="24"/>
      <c r="J28" s="24"/>
    </row>
    <row r="30" spans="1:10" x14ac:dyDescent="0.2">
      <c r="A30" s="27" t="s">
        <v>36</v>
      </c>
      <c r="B30" s="28"/>
      <c r="C30" s="29" t="s">
        <v>37</v>
      </c>
      <c r="D30" s="29"/>
      <c r="E30" s="29"/>
      <c r="F30" s="29"/>
      <c r="G30" s="29"/>
      <c r="H30" s="29"/>
      <c r="I30" s="29"/>
      <c r="J30" s="29"/>
    </row>
    <row r="31" spans="1:10" x14ac:dyDescent="0.2">
      <c r="A31" s="27" t="s">
        <v>38</v>
      </c>
      <c r="B31" s="28"/>
      <c r="C31" s="29" t="s">
        <v>39</v>
      </c>
      <c r="D31" s="29"/>
      <c r="E31" s="29"/>
      <c r="F31" s="29"/>
      <c r="G31" s="29"/>
      <c r="H31" s="29"/>
      <c r="I31" s="29"/>
      <c r="J31" s="29"/>
    </row>
    <row r="32" spans="1:10" x14ac:dyDescent="0.2">
      <c r="A32" s="27" t="s">
        <v>40</v>
      </c>
      <c r="B32" s="28"/>
      <c r="C32" s="29" t="s">
        <v>41</v>
      </c>
      <c r="D32" s="29"/>
      <c r="E32" s="29"/>
      <c r="F32" s="29"/>
      <c r="G32" s="29"/>
      <c r="H32" s="29"/>
      <c r="I32" s="29"/>
      <c r="J32" s="29"/>
    </row>
    <row r="33" spans="1:10" x14ac:dyDescent="0.2">
      <c r="A33" s="27" t="s">
        <v>42</v>
      </c>
      <c r="B33" s="28"/>
      <c r="C33" s="29" t="s">
        <v>43</v>
      </c>
      <c r="D33" s="29"/>
      <c r="E33" s="29"/>
      <c r="F33" s="29"/>
      <c r="G33" s="29"/>
      <c r="H33" s="29"/>
      <c r="I33" s="29"/>
      <c r="J33" s="29"/>
    </row>
    <row r="34" spans="1:10" x14ac:dyDescent="0.2">
      <c r="A34" s="27" t="s">
        <v>48</v>
      </c>
      <c r="B34" s="28"/>
      <c r="C34" s="29" t="s">
        <v>49</v>
      </c>
      <c r="D34" s="29"/>
      <c r="E34" s="29"/>
      <c r="F34" s="29"/>
      <c r="G34" s="29"/>
      <c r="H34" s="29"/>
      <c r="I34" s="29"/>
      <c r="J34" s="29"/>
    </row>
    <row r="35" spans="1:10" x14ac:dyDescent="0.2">
      <c r="A35" s="27" t="s">
        <v>73</v>
      </c>
      <c r="B35" s="28"/>
      <c r="C35" s="29" t="s">
        <v>74</v>
      </c>
      <c r="D35" s="29"/>
      <c r="E35" s="29"/>
      <c r="F35" s="29"/>
      <c r="G35" s="29"/>
      <c r="H35" s="29"/>
      <c r="I35" s="29"/>
      <c r="J35" s="29"/>
    </row>
    <row r="36" spans="1:10" x14ac:dyDescent="0.2">
      <c r="A36" s="27" t="s">
        <v>75</v>
      </c>
      <c r="B36" s="28"/>
      <c r="C36" s="29" t="s">
        <v>76</v>
      </c>
      <c r="D36" s="29"/>
      <c r="E36" s="29"/>
      <c r="F36" s="29"/>
      <c r="G36" s="29"/>
      <c r="H36" s="29"/>
      <c r="I36" s="29"/>
      <c r="J36" s="29"/>
    </row>
  </sheetData>
  <sheetProtection formatCells="0" formatColumns="0" formatRows="0" insertColumns="0" insertRows="0" insertHyperlinks="0" deleteColumns="0" deleteRows="0" sort="0" autoFilter="0" pivotTables="0"/>
  <mergeCells count="23">
    <mergeCell ref="A34:B34"/>
    <mergeCell ref="C34:J34"/>
    <mergeCell ref="A35:B35"/>
    <mergeCell ref="C35:J35"/>
    <mergeCell ref="A36:B36"/>
    <mergeCell ref="C36:J36"/>
    <mergeCell ref="A31:B31"/>
    <mergeCell ref="C31:J31"/>
    <mergeCell ref="A32:B32"/>
    <mergeCell ref="C32:J32"/>
    <mergeCell ref="A33:B33"/>
    <mergeCell ref="C33:J33"/>
    <mergeCell ref="B20:D20"/>
    <mergeCell ref="E20:G20"/>
    <mergeCell ref="H20:J20"/>
    <mergeCell ref="A28:J28"/>
    <mergeCell ref="A30:B30"/>
    <mergeCell ref="C30:J30"/>
    <mergeCell ref="A1:J1"/>
    <mergeCell ref="A2:J2"/>
    <mergeCell ref="B4:D4"/>
    <mergeCell ref="E4:G4"/>
    <mergeCell ref="H4:J4"/>
  </mergeCells>
  <pageMargins left="0.4" right="0.4" top="0.6" bottom="0.6" header="0.3" footer="0.3"/>
  <pageSetup orientation="landscape"/>
  <headerFooter>
    <oddHeader>&amp;L&amp;B2017-2018 IVC Research Report for CDEV&amp;RPrinted on &amp;D</oddHeader>
    <oddFooter>&amp;L&amp;BGenerated By: Office of Institutional Research&amp;RPage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A33" sqref="A33:B33"/>
    </sheetView>
  </sheetViews>
  <sheetFormatPr defaultRowHeight="12.75" x14ac:dyDescent="0.2"/>
  <cols>
    <col min="1" max="1" width="16" customWidth="1"/>
    <col min="2" max="2" width="6" customWidth="1"/>
    <col min="3" max="4" width="10" customWidth="1"/>
    <col min="5" max="5" width="6" customWidth="1"/>
    <col min="6" max="7" width="10" customWidth="1"/>
    <col min="8" max="8" width="6" customWidth="1"/>
    <col min="9" max="10" width="10" customWidth="1"/>
    <col min="11" max="11" width="5" customWidth="1"/>
    <col min="12" max="13" width="10" customWidth="1"/>
    <col min="14" max="14" width="5" customWidth="1"/>
    <col min="15" max="16" width="10" customWidth="1"/>
  </cols>
  <sheetData>
    <row r="1" spans="1:16" ht="21" x14ac:dyDescent="0.35">
      <c r="A1" s="23" t="s">
        <v>77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5.75" x14ac:dyDescent="0.25">
      <c r="A2" s="25" t="s">
        <v>78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4" spans="1:16" x14ac:dyDescent="0.2">
      <c r="B4" s="26" t="s">
        <v>79</v>
      </c>
      <c r="C4" s="26"/>
      <c r="D4" s="26"/>
      <c r="E4" s="26" t="s">
        <v>80</v>
      </c>
      <c r="F4" s="26"/>
      <c r="G4" s="26"/>
      <c r="H4" s="26" t="s">
        <v>81</v>
      </c>
      <c r="I4" s="26"/>
      <c r="J4" s="26"/>
      <c r="K4" s="26" t="s">
        <v>82</v>
      </c>
      <c r="L4" s="26"/>
      <c r="M4" s="26"/>
      <c r="N4" s="26" t="s">
        <v>83</v>
      </c>
      <c r="O4" s="26"/>
      <c r="P4" s="26"/>
    </row>
    <row r="5" spans="1:16" x14ac:dyDescent="0.2">
      <c r="A5" s="2" t="s">
        <v>13</v>
      </c>
      <c r="B5" s="2" t="s">
        <v>84</v>
      </c>
      <c r="C5" s="2" t="s">
        <v>85</v>
      </c>
      <c r="D5" s="2" t="s">
        <v>86</v>
      </c>
      <c r="E5" s="2" t="s">
        <v>84</v>
      </c>
      <c r="F5" s="2" t="s">
        <v>85</v>
      </c>
      <c r="G5" s="2" t="s">
        <v>86</v>
      </c>
      <c r="H5" s="2" t="s">
        <v>84</v>
      </c>
      <c r="I5" s="2" t="s">
        <v>85</v>
      </c>
      <c r="J5" s="2" t="s">
        <v>86</v>
      </c>
      <c r="K5" s="2" t="s">
        <v>84</v>
      </c>
      <c r="L5" s="2" t="s">
        <v>85</v>
      </c>
      <c r="M5" s="2" t="s">
        <v>86</v>
      </c>
      <c r="N5" s="2" t="s">
        <v>84</v>
      </c>
      <c r="O5" s="2" t="s">
        <v>85</v>
      </c>
      <c r="P5" s="2" t="s">
        <v>86</v>
      </c>
    </row>
    <row r="6" spans="1:16" x14ac:dyDescent="0.2">
      <c r="A6" s="3" t="s">
        <v>18</v>
      </c>
      <c r="B6" s="4">
        <v>2</v>
      </c>
      <c r="C6" s="5">
        <v>0</v>
      </c>
      <c r="D6" s="5">
        <v>0</v>
      </c>
      <c r="E6" s="4">
        <v>351</v>
      </c>
      <c r="F6" s="5">
        <v>0.69800569999999995</v>
      </c>
      <c r="G6" s="5">
        <v>0.85470089999999999</v>
      </c>
      <c r="H6" s="4">
        <v>2</v>
      </c>
      <c r="I6" s="5">
        <v>1</v>
      </c>
      <c r="J6" s="5">
        <v>1</v>
      </c>
      <c r="K6" s="4">
        <v>0</v>
      </c>
      <c r="L6" s="5">
        <v>0</v>
      </c>
      <c r="M6" s="5">
        <v>0</v>
      </c>
      <c r="N6" s="4">
        <v>100</v>
      </c>
      <c r="O6" s="5">
        <v>0.63</v>
      </c>
      <c r="P6" s="5">
        <v>0.8</v>
      </c>
    </row>
    <row r="7" spans="1:16" x14ac:dyDescent="0.2">
      <c r="A7" s="3" t="s">
        <v>19</v>
      </c>
      <c r="B7" s="3">
        <v>0</v>
      </c>
      <c r="C7" s="6">
        <v>0</v>
      </c>
      <c r="D7" s="6">
        <v>0</v>
      </c>
      <c r="E7" s="3">
        <v>0</v>
      </c>
      <c r="F7" s="6">
        <v>0</v>
      </c>
      <c r="G7" s="6">
        <v>0</v>
      </c>
      <c r="H7" s="3">
        <v>0</v>
      </c>
      <c r="I7" s="6">
        <v>0</v>
      </c>
      <c r="J7" s="6">
        <v>0</v>
      </c>
      <c r="K7" s="3">
        <v>0</v>
      </c>
      <c r="L7" s="6">
        <v>0</v>
      </c>
      <c r="M7" s="6">
        <v>0</v>
      </c>
      <c r="N7" s="3">
        <v>0</v>
      </c>
      <c r="O7" s="6">
        <v>0</v>
      </c>
      <c r="P7" s="6">
        <v>0</v>
      </c>
    </row>
    <row r="8" spans="1:16" x14ac:dyDescent="0.2">
      <c r="A8" s="3" t="s">
        <v>20</v>
      </c>
      <c r="B8" s="4">
        <v>1</v>
      </c>
      <c r="C8" s="5">
        <v>1</v>
      </c>
      <c r="D8" s="5">
        <v>1</v>
      </c>
      <c r="E8" s="4">
        <v>337</v>
      </c>
      <c r="F8" s="5">
        <v>0.71216619999999997</v>
      </c>
      <c r="G8" s="5">
        <v>0.84866470000000005</v>
      </c>
      <c r="H8" s="4">
        <v>1</v>
      </c>
      <c r="I8" s="5">
        <v>1</v>
      </c>
      <c r="J8" s="5">
        <v>1</v>
      </c>
      <c r="K8" s="4">
        <v>1</v>
      </c>
      <c r="L8" s="5">
        <v>1</v>
      </c>
      <c r="M8" s="5">
        <v>1</v>
      </c>
      <c r="N8" s="4">
        <v>113</v>
      </c>
      <c r="O8" s="5">
        <v>0.55752210000000002</v>
      </c>
      <c r="P8" s="5">
        <v>0.72566370000000002</v>
      </c>
    </row>
    <row r="9" spans="1:16" x14ac:dyDescent="0.2">
      <c r="A9" s="3" t="s">
        <v>21</v>
      </c>
      <c r="B9" s="3">
        <v>0</v>
      </c>
      <c r="C9" s="6">
        <v>0</v>
      </c>
      <c r="D9" s="6">
        <v>0</v>
      </c>
      <c r="E9" s="3">
        <v>0</v>
      </c>
      <c r="F9" s="6">
        <v>0</v>
      </c>
      <c r="G9" s="6">
        <v>0</v>
      </c>
      <c r="H9" s="3">
        <v>0</v>
      </c>
      <c r="I9" s="6">
        <v>0</v>
      </c>
      <c r="J9" s="6">
        <v>0</v>
      </c>
      <c r="K9" s="3">
        <v>0</v>
      </c>
      <c r="L9" s="6">
        <v>0</v>
      </c>
      <c r="M9" s="6">
        <v>0</v>
      </c>
      <c r="N9" s="3">
        <v>0</v>
      </c>
      <c r="O9" s="6">
        <v>0</v>
      </c>
      <c r="P9" s="6">
        <v>0</v>
      </c>
    </row>
    <row r="10" spans="1:16" x14ac:dyDescent="0.2">
      <c r="A10" s="3" t="s">
        <v>22</v>
      </c>
      <c r="B10" s="4">
        <v>0</v>
      </c>
      <c r="C10" s="5">
        <v>0</v>
      </c>
      <c r="D10" s="5">
        <v>0</v>
      </c>
      <c r="E10" s="4">
        <v>310</v>
      </c>
      <c r="F10" s="5">
        <v>0.70645159999999996</v>
      </c>
      <c r="G10" s="5">
        <v>0.90645160000000002</v>
      </c>
      <c r="H10" s="4">
        <v>0</v>
      </c>
      <c r="I10" s="5">
        <v>0</v>
      </c>
      <c r="J10" s="5">
        <v>0</v>
      </c>
      <c r="K10" s="4">
        <v>0</v>
      </c>
      <c r="L10" s="5">
        <v>0</v>
      </c>
      <c r="M10" s="5">
        <v>0</v>
      </c>
      <c r="N10" s="4">
        <v>158</v>
      </c>
      <c r="O10" s="5">
        <v>0.58860760000000001</v>
      </c>
      <c r="P10" s="5">
        <v>0.82911389999999996</v>
      </c>
    </row>
    <row r="11" spans="1:16" x14ac:dyDescent="0.2">
      <c r="A11" s="3" t="s">
        <v>23</v>
      </c>
      <c r="B11" s="3">
        <v>0</v>
      </c>
      <c r="C11" s="6">
        <v>0</v>
      </c>
      <c r="D11" s="6">
        <v>0</v>
      </c>
      <c r="E11" s="3">
        <v>25</v>
      </c>
      <c r="F11" s="6">
        <v>0.92</v>
      </c>
      <c r="G11" s="6">
        <v>1</v>
      </c>
      <c r="H11" s="3">
        <v>0</v>
      </c>
      <c r="I11" s="6">
        <v>0</v>
      </c>
      <c r="J11" s="6">
        <v>0</v>
      </c>
      <c r="K11" s="3">
        <v>0</v>
      </c>
      <c r="L11" s="6">
        <v>0</v>
      </c>
      <c r="M11" s="6">
        <v>0</v>
      </c>
      <c r="N11" s="3">
        <v>11</v>
      </c>
      <c r="O11" s="6">
        <v>1</v>
      </c>
      <c r="P11" s="6">
        <v>1</v>
      </c>
    </row>
    <row r="12" spans="1:16" x14ac:dyDescent="0.2">
      <c r="A12" s="3" t="s">
        <v>24</v>
      </c>
      <c r="B12" s="4">
        <v>1</v>
      </c>
      <c r="C12" s="5">
        <v>0</v>
      </c>
      <c r="D12" s="5">
        <v>0</v>
      </c>
      <c r="E12" s="4">
        <v>306</v>
      </c>
      <c r="F12" s="5">
        <v>0.75163400000000002</v>
      </c>
      <c r="G12" s="5">
        <v>0.93137250000000005</v>
      </c>
      <c r="H12" s="4">
        <v>1</v>
      </c>
      <c r="I12" s="5">
        <v>1</v>
      </c>
      <c r="J12" s="5">
        <v>1</v>
      </c>
      <c r="K12" s="4">
        <v>0</v>
      </c>
      <c r="L12" s="5">
        <v>0</v>
      </c>
      <c r="M12" s="5">
        <v>0</v>
      </c>
      <c r="N12" s="4">
        <v>167</v>
      </c>
      <c r="O12" s="5">
        <v>0.63473049999999998</v>
      </c>
      <c r="P12" s="5">
        <v>0.80239519999999998</v>
      </c>
    </row>
    <row r="13" spans="1:16" x14ac:dyDescent="0.2">
      <c r="A13" s="3" t="s">
        <v>25</v>
      </c>
      <c r="B13" s="3">
        <v>0</v>
      </c>
      <c r="C13" s="6">
        <v>0</v>
      </c>
      <c r="D13" s="6">
        <v>0</v>
      </c>
      <c r="E13" s="3">
        <v>0</v>
      </c>
      <c r="F13" s="6">
        <v>0</v>
      </c>
      <c r="G13" s="6">
        <v>0</v>
      </c>
      <c r="H13" s="3">
        <v>0</v>
      </c>
      <c r="I13" s="6">
        <v>0</v>
      </c>
      <c r="J13" s="6">
        <v>0</v>
      </c>
      <c r="K13" s="3">
        <v>0</v>
      </c>
      <c r="L13" s="6">
        <v>0</v>
      </c>
      <c r="M13" s="6">
        <v>0</v>
      </c>
      <c r="N13" s="3">
        <v>0</v>
      </c>
      <c r="O13" s="6">
        <v>0</v>
      </c>
      <c r="P13" s="6">
        <v>0</v>
      </c>
    </row>
    <row r="14" spans="1:16" x14ac:dyDescent="0.2">
      <c r="A14" s="3" t="s">
        <v>26</v>
      </c>
      <c r="B14" s="4">
        <v>0</v>
      </c>
      <c r="C14" s="5">
        <v>0</v>
      </c>
      <c r="D14" s="5">
        <v>0</v>
      </c>
      <c r="E14" s="4">
        <v>267</v>
      </c>
      <c r="F14" s="5">
        <v>0.87640450000000003</v>
      </c>
      <c r="G14" s="5">
        <v>0.94007490000000005</v>
      </c>
      <c r="H14" s="4">
        <v>3</v>
      </c>
      <c r="I14" s="5">
        <v>1</v>
      </c>
      <c r="J14" s="5">
        <v>1</v>
      </c>
      <c r="K14" s="4">
        <v>0</v>
      </c>
      <c r="L14" s="5">
        <v>0</v>
      </c>
      <c r="M14" s="5">
        <v>0</v>
      </c>
      <c r="N14" s="4">
        <v>198</v>
      </c>
      <c r="O14" s="5">
        <v>0.8131313</v>
      </c>
      <c r="P14" s="5">
        <v>0.89393940000000005</v>
      </c>
    </row>
    <row r="15" spans="1:16" x14ac:dyDescent="0.2">
      <c r="A15" s="3" t="s">
        <v>27</v>
      </c>
      <c r="B15" s="3">
        <v>0</v>
      </c>
      <c r="C15" s="6">
        <v>0</v>
      </c>
      <c r="D15" s="6">
        <v>0</v>
      </c>
      <c r="E15" s="3">
        <v>40</v>
      </c>
      <c r="F15" s="6">
        <v>0.95</v>
      </c>
      <c r="G15" s="6">
        <v>0.95</v>
      </c>
      <c r="H15" s="3">
        <v>0</v>
      </c>
      <c r="I15" s="6">
        <v>0</v>
      </c>
      <c r="J15" s="6">
        <v>0</v>
      </c>
      <c r="K15" s="3">
        <v>0</v>
      </c>
      <c r="L15" s="6">
        <v>0</v>
      </c>
      <c r="M15" s="6">
        <v>0</v>
      </c>
      <c r="N15" s="3">
        <v>29</v>
      </c>
      <c r="O15" s="6">
        <v>1</v>
      </c>
      <c r="P15" s="6">
        <v>1</v>
      </c>
    </row>
    <row r="16" spans="1:16" x14ac:dyDescent="0.2">
      <c r="A16" s="3" t="s">
        <v>28</v>
      </c>
      <c r="B16" s="4">
        <v>2</v>
      </c>
      <c r="C16" s="5">
        <v>0</v>
      </c>
      <c r="D16" s="5">
        <v>1</v>
      </c>
      <c r="E16" s="4">
        <v>248</v>
      </c>
      <c r="F16" s="5">
        <v>0.875</v>
      </c>
      <c r="G16" s="5">
        <v>0.95564519999999997</v>
      </c>
      <c r="H16" s="4">
        <v>1</v>
      </c>
      <c r="I16" s="5">
        <v>1</v>
      </c>
      <c r="J16" s="5">
        <v>1</v>
      </c>
      <c r="K16" s="4">
        <v>0</v>
      </c>
      <c r="L16" s="5">
        <v>0</v>
      </c>
      <c r="M16" s="5">
        <v>0</v>
      </c>
      <c r="N16" s="4">
        <v>242</v>
      </c>
      <c r="O16" s="5">
        <v>0.83471070000000003</v>
      </c>
      <c r="P16" s="5">
        <v>0.91322309999999995</v>
      </c>
    </row>
    <row r="17" spans="1:16" x14ac:dyDescent="0.2">
      <c r="A17" s="3" t="s">
        <v>29</v>
      </c>
      <c r="B17" s="3">
        <v>0</v>
      </c>
      <c r="C17" s="6">
        <v>0</v>
      </c>
      <c r="D17" s="6">
        <v>0</v>
      </c>
      <c r="E17" s="3">
        <v>9</v>
      </c>
      <c r="F17" s="6">
        <v>1</v>
      </c>
      <c r="G17" s="6">
        <v>1</v>
      </c>
      <c r="H17" s="3">
        <v>0</v>
      </c>
      <c r="I17" s="6">
        <v>0</v>
      </c>
      <c r="J17" s="6">
        <v>0</v>
      </c>
      <c r="K17" s="3">
        <v>0</v>
      </c>
      <c r="L17" s="6">
        <v>0</v>
      </c>
      <c r="M17" s="6">
        <v>0</v>
      </c>
      <c r="N17" s="3">
        <v>15</v>
      </c>
      <c r="O17" s="6">
        <v>0.46666669999999999</v>
      </c>
      <c r="P17" s="6">
        <v>1</v>
      </c>
    </row>
    <row r="18" spans="1:16" x14ac:dyDescent="0.2">
      <c r="A18" s="7" t="s">
        <v>87</v>
      </c>
      <c r="B18" s="8">
        <f>SUM(B6:B17)</f>
        <v>6</v>
      </c>
      <c r="C18" s="9">
        <f>IF(B18=0, 0, ((B6*C6)+(B7*C7)+(B8*C8)+(B9*C9)+(B10*C10)+(B11*C11)+(B12*C12)+(B13*C13)+(B14*C14)+(B15*C15)+(B16*C16)+(B17*C17))/B18)</f>
        <v>0.16666666666666666</v>
      </c>
      <c r="D18" s="9">
        <f>IF(B18=0, 0, ((B6*D6)+(B7*D7)+(B8*D8)+(B9*D9)+(B10*D10)+(B11*D11)+(B12*D12)+(B13*D13)+(B14*D14)+(B15*D15)+(B16*D16)+(B17*D17))/B18)</f>
        <v>0.5</v>
      </c>
      <c r="E18" s="8">
        <f>SUM(E6:E17)</f>
        <v>1893</v>
      </c>
      <c r="F18" s="9">
        <f>IF(E18=0, 0, ((E6*F6)+(E7*F7)+(E8*F8)+(E9*F9)+(E10*F10)+(E11*F11)+(E12*F12)+(E13*F13)+(E14*F14)+(E15*F15)+(E16*F16)+(E17*F17))/E18)</f>
        <v>0.7686212422609614</v>
      </c>
      <c r="G18" s="9">
        <f>IF(E18=0, 0, ((E6*G6)+(E7*G7)+(E8*G8)+(E9*G9)+(E10*G10)+(E11*G11)+(E12*G12)+(E13*G13)+(E14*G14)+(E15*G15)+(E16*G16)+(E17*G17))/E18)</f>
        <v>0.90438457934495531</v>
      </c>
      <c r="H18" s="8">
        <f>SUM(H6:H17)</f>
        <v>8</v>
      </c>
      <c r="I18" s="9">
        <f>IF(H18=0, 0, ((H6*I6)+(H7*I7)+(H8*I8)+(H9*I9)+(H10*I10)+(H11*I11)+(H12*I12)+(H13*I13)+(H14*I14)+(H15*I15)+(H16*I16)+(H17*I17))/H18)</f>
        <v>1</v>
      </c>
      <c r="J18" s="9">
        <f>IF(H18=0, 0, ((H6*J6)+(H7*J7)+(H8*J8)+(H9*J9)+(H10*J10)+(H11*J11)+(H12*J12)+(H13*J13)+(H14*J14)+(H15*J15)+(H16*J16)+(H17*J17))/H18)</f>
        <v>1</v>
      </c>
      <c r="K18" s="8">
        <f>SUM(K6:K17)</f>
        <v>1</v>
      </c>
      <c r="L18" s="9">
        <f>IF(K18=0, 0, ((K6*L6)+(K7*L7)+(K8*L8)+(K9*L9)+(K10*L10)+(K11*L11)+(K12*L12)+(K13*L13)+(K14*L14)+(K15*L15)+(K16*L16)+(K17*L17))/K18)</f>
        <v>1</v>
      </c>
      <c r="M18" s="9">
        <f>IF(K18=0, 0, ((K6*M6)+(K7*M7)+(K8*M8)+(K9*M9)+(K10*M10)+(K11*M11)+(K12*M12)+(K13*M13)+(K14*M14)+(K15*M15)+(K16*M16)+(K17*M17))/K18)</f>
        <v>1</v>
      </c>
      <c r="N18" s="8">
        <f>SUM(N6:N17)</f>
        <v>1033</v>
      </c>
      <c r="O18" s="9">
        <f>IF(N18=0, 0, ((N6*O6)+(N7*O7)+(N8*O8)+(N9*O9)+(N10*O10)+(N11*O11)+(N12*O12)+(N13*O13)+(N14*O14)+(N15*O15)+(N16*O16)+(N17*O17))/N18)</f>
        <v>0.71151982468538244</v>
      </c>
      <c r="P18" s="9">
        <f>IF(N18=0, 0, ((N6*P6)+(N7*P7)+(N8*P8)+(N9*P9)+(N10*P10)+(N11*P11)+(N12*P12)+(N13*P13)+(N14*P14)+(N15*P15)+(N16*P16)+(N17*P17))/N18)</f>
        <v>0.85188769031945788</v>
      </c>
    </row>
    <row r="20" spans="1:16" x14ac:dyDescent="0.2">
      <c r="B20" s="26" t="s">
        <v>79</v>
      </c>
      <c r="C20" s="26"/>
      <c r="D20" s="26"/>
      <c r="E20" s="26" t="s">
        <v>80</v>
      </c>
      <c r="F20" s="26"/>
      <c r="G20" s="26"/>
      <c r="H20" s="26" t="s">
        <v>81</v>
      </c>
      <c r="I20" s="26"/>
      <c r="J20" s="26"/>
      <c r="K20" s="26" t="s">
        <v>82</v>
      </c>
      <c r="L20" s="26"/>
      <c r="M20" s="26"/>
      <c r="N20" s="26" t="s">
        <v>83</v>
      </c>
      <c r="O20" s="26"/>
      <c r="P20" s="26"/>
    </row>
    <row r="21" spans="1:16" x14ac:dyDescent="0.2">
      <c r="A21" s="2" t="s">
        <v>31</v>
      </c>
      <c r="B21" s="2" t="s">
        <v>84</v>
      </c>
      <c r="C21" s="2" t="s">
        <v>85</v>
      </c>
      <c r="D21" s="2" t="s">
        <v>86</v>
      </c>
      <c r="E21" s="2" t="s">
        <v>84</v>
      </c>
      <c r="F21" s="2" t="s">
        <v>85</v>
      </c>
      <c r="G21" s="2" t="s">
        <v>86</v>
      </c>
      <c r="H21" s="2" t="s">
        <v>84</v>
      </c>
      <c r="I21" s="2" t="s">
        <v>85</v>
      </c>
      <c r="J21" s="2" t="s">
        <v>86</v>
      </c>
      <c r="K21" s="2" t="s">
        <v>84</v>
      </c>
      <c r="L21" s="2" t="s">
        <v>85</v>
      </c>
      <c r="M21" s="2" t="s">
        <v>86</v>
      </c>
      <c r="N21" s="2" t="s">
        <v>84</v>
      </c>
      <c r="O21" s="2" t="s">
        <v>85</v>
      </c>
      <c r="P21" s="2" t="s">
        <v>86</v>
      </c>
    </row>
    <row r="22" spans="1:16" x14ac:dyDescent="0.2">
      <c r="A22" s="3" t="s">
        <v>57</v>
      </c>
      <c r="B22" s="4">
        <v>3</v>
      </c>
      <c r="C22" s="5">
        <v>0.3333333</v>
      </c>
      <c r="D22" s="5">
        <v>0.3333333</v>
      </c>
      <c r="E22" s="4">
        <v>688</v>
      </c>
      <c r="F22" s="5">
        <v>0.70494190000000001</v>
      </c>
      <c r="G22" s="5">
        <v>0.85174419999999995</v>
      </c>
      <c r="H22" s="4">
        <v>3</v>
      </c>
      <c r="I22" s="5">
        <v>1</v>
      </c>
      <c r="J22" s="5">
        <v>1</v>
      </c>
      <c r="K22" s="4">
        <v>1</v>
      </c>
      <c r="L22" s="5">
        <v>1</v>
      </c>
      <c r="M22" s="5">
        <v>1</v>
      </c>
      <c r="N22" s="4">
        <v>213</v>
      </c>
      <c r="O22" s="5">
        <v>0.59154929999999994</v>
      </c>
      <c r="P22" s="5">
        <v>0.7605634</v>
      </c>
    </row>
    <row r="23" spans="1:16" x14ac:dyDescent="0.2">
      <c r="A23" s="3" t="s">
        <v>58</v>
      </c>
      <c r="B23" s="3">
        <v>1</v>
      </c>
      <c r="C23" s="6">
        <v>0</v>
      </c>
      <c r="D23" s="6">
        <v>0</v>
      </c>
      <c r="E23" s="3">
        <v>641</v>
      </c>
      <c r="F23" s="6">
        <v>0.73634949999999999</v>
      </c>
      <c r="G23" s="6">
        <v>0.92199690000000001</v>
      </c>
      <c r="H23" s="3">
        <v>1</v>
      </c>
      <c r="I23" s="6">
        <v>1</v>
      </c>
      <c r="J23" s="6">
        <v>1</v>
      </c>
      <c r="K23" s="3">
        <v>0</v>
      </c>
      <c r="L23" s="6">
        <v>0</v>
      </c>
      <c r="M23" s="6">
        <v>0</v>
      </c>
      <c r="N23" s="3">
        <v>336</v>
      </c>
      <c r="O23" s="6">
        <v>0.625</v>
      </c>
      <c r="P23" s="6">
        <v>0.82142859999999995</v>
      </c>
    </row>
    <row r="24" spans="1:16" x14ac:dyDescent="0.2">
      <c r="A24" s="3" t="s">
        <v>59</v>
      </c>
      <c r="B24" s="4">
        <v>2</v>
      </c>
      <c r="C24" s="5">
        <v>0</v>
      </c>
      <c r="D24" s="5">
        <v>1</v>
      </c>
      <c r="E24" s="4">
        <v>564</v>
      </c>
      <c r="F24" s="5">
        <v>0.88297870000000001</v>
      </c>
      <c r="G24" s="5">
        <v>0.94858160000000002</v>
      </c>
      <c r="H24" s="4">
        <v>4</v>
      </c>
      <c r="I24" s="5">
        <v>1</v>
      </c>
      <c r="J24" s="5">
        <v>1</v>
      </c>
      <c r="K24" s="4">
        <v>0</v>
      </c>
      <c r="L24" s="5">
        <v>0</v>
      </c>
      <c r="M24" s="5">
        <v>0</v>
      </c>
      <c r="N24" s="4">
        <v>484</v>
      </c>
      <c r="O24" s="5">
        <v>0.82438020000000001</v>
      </c>
      <c r="P24" s="5">
        <v>0.91322309999999995</v>
      </c>
    </row>
    <row r="25" spans="1:16" x14ac:dyDescent="0.2">
      <c r="A25" s="7" t="s">
        <v>87</v>
      </c>
      <c r="B25" s="8">
        <f>SUM(B22:B24)</f>
        <v>6</v>
      </c>
      <c r="C25" s="9">
        <f>IF(B25=0, 0, ((B22*C22)+(B23*C23)+(B24*C24))/B25)</f>
        <v>0.16666665</v>
      </c>
      <c r="D25" s="9">
        <f>IF(B25=0, 0, ((B22*D22)+(B23*D23)+(B24*D24))/B25)</f>
        <v>0.49999998333333329</v>
      </c>
      <c r="E25" s="8">
        <f>SUM(E22:E24)</f>
        <v>1893</v>
      </c>
      <c r="F25" s="9">
        <f>IF(E25=0, 0, ((E22*F22)+(E23*F23)+(E24*F24))/E25)</f>
        <v>0.76862125911251977</v>
      </c>
      <c r="G25" s="9">
        <f>IF(E25=0, 0, ((E22*G22)+(E23*G23)+(E24*G24))/E25)</f>
        <v>0.90438459846804009</v>
      </c>
      <c r="H25" s="8">
        <f>SUM(H22:H24)</f>
        <v>8</v>
      </c>
      <c r="I25" s="9">
        <f>IF(H25=0, 0, ((H22*I22)+(H23*I23)+(H24*I24))/H25)</f>
        <v>1</v>
      </c>
      <c r="J25" s="9">
        <f>IF(H25=0, 0, ((H22*J22)+(H23*J23)+(H24*J24))/H25)</f>
        <v>1</v>
      </c>
      <c r="K25" s="8">
        <f>SUM(K22:K24)</f>
        <v>1</v>
      </c>
      <c r="L25" s="9">
        <f>IF(K25=0, 0, ((K22*L22)+(K23*L23)+(K24*L24))/K25)</f>
        <v>1</v>
      </c>
      <c r="M25" s="9">
        <f>IF(K25=0, 0, ((K22*M22)+(K23*M23)+(K24*M24))/K25)</f>
        <v>1</v>
      </c>
      <c r="N25" s="8">
        <f>SUM(N22:N24)</f>
        <v>1033</v>
      </c>
      <c r="O25" s="9">
        <f>IF(N25=0, 0, ((N22*O22)+(N23*O23)+(N24*O24))/N25)</f>
        <v>0.7115198622458857</v>
      </c>
      <c r="P25" s="9">
        <f>IF(N25=0, 0, ((N22*P22)+(N23*P23)+(N24*P24))/N25)</f>
        <v>0.85188770009680537</v>
      </c>
    </row>
    <row r="28" spans="1:16" ht="21" x14ac:dyDescent="0.35">
      <c r="A28" s="23" t="s">
        <v>35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30" spans="1:16" x14ac:dyDescent="0.2">
      <c r="A30" s="27" t="s">
        <v>36</v>
      </c>
      <c r="B30" s="28"/>
      <c r="C30" s="29" t="s">
        <v>37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1:16" x14ac:dyDescent="0.2">
      <c r="A31" s="27" t="s">
        <v>40</v>
      </c>
      <c r="B31" s="28"/>
      <c r="C31" s="29" t="s">
        <v>41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x14ac:dyDescent="0.2">
      <c r="A32" s="27" t="s">
        <v>73</v>
      </c>
      <c r="B32" s="28"/>
      <c r="C32" s="29" t="s">
        <v>88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1:16" x14ac:dyDescent="0.2">
      <c r="A33" s="27" t="s">
        <v>75</v>
      </c>
      <c r="B33" s="28"/>
      <c r="C33" s="29" t="s">
        <v>76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</sheetData>
  <sheetProtection formatCells="0" formatColumns="0" formatRows="0" insertColumns="0" insertRows="0" insertHyperlinks="0" deleteColumns="0" deleteRows="0" sort="0" autoFilter="0" pivotTables="0"/>
  <mergeCells count="21">
    <mergeCell ref="A32:B32"/>
    <mergeCell ref="C32:P32"/>
    <mergeCell ref="A33:B33"/>
    <mergeCell ref="C33:P33"/>
    <mergeCell ref="A28:P28"/>
    <mergeCell ref="A30:B30"/>
    <mergeCell ref="C30:P30"/>
    <mergeCell ref="A31:B31"/>
    <mergeCell ref="C31:P31"/>
    <mergeCell ref="B20:D20"/>
    <mergeCell ref="E20:G20"/>
    <mergeCell ref="H20:J20"/>
    <mergeCell ref="K20:M20"/>
    <mergeCell ref="N20:P20"/>
    <mergeCell ref="A1:P1"/>
    <mergeCell ref="A2:P2"/>
    <mergeCell ref="B4:D4"/>
    <mergeCell ref="E4:G4"/>
    <mergeCell ref="H4:J4"/>
    <mergeCell ref="K4:M4"/>
    <mergeCell ref="N4:P4"/>
  </mergeCells>
  <pageMargins left="0.4" right="0.4" top="0.6" bottom="0.6" header="0.3" footer="0.3"/>
  <pageSetup orientation="landscape"/>
  <headerFooter>
    <oddHeader>&amp;L&amp;B2017-2018 IVC Research Report for CDEV&amp;RPrinted on &amp;D</oddHeader>
    <oddFooter>&amp;L&amp;BGenerated By: Office of Institutional Research&amp;RPage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workbookViewId="0">
      <selection activeCell="A33" sqref="A33:B33"/>
    </sheetView>
  </sheetViews>
  <sheetFormatPr defaultRowHeight="12.75" x14ac:dyDescent="0.2"/>
  <cols>
    <col min="1" max="1" width="15" customWidth="1"/>
    <col min="2" max="2" width="5" customWidth="1"/>
    <col min="3" max="4" width="10" customWidth="1"/>
    <col min="5" max="5" width="5" customWidth="1"/>
    <col min="6" max="7" width="10" customWidth="1"/>
    <col min="8" max="8" width="5" customWidth="1"/>
    <col min="9" max="10" width="10" customWidth="1"/>
    <col min="11" max="11" width="5" customWidth="1"/>
    <col min="12" max="13" width="10" customWidth="1"/>
    <col min="14" max="14" width="5" customWidth="1"/>
    <col min="15" max="16" width="10" customWidth="1"/>
    <col min="17" max="17" width="5" customWidth="1"/>
    <col min="18" max="19" width="10" customWidth="1"/>
    <col min="20" max="20" width="5" customWidth="1"/>
    <col min="21" max="22" width="10" customWidth="1"/>
  </cols>
  <sheetData>
    <row r="1" spans="1:22" ht="21" x14ac:dyDescent="0.35">
      <c r="A1" s="23" t="s">
        <v>89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ht="15.75" x14ac:dyDescent="0.25">
      <c r="A2" s="25" t="s">
        <v>90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4" spans="1:22" x14ac:dyDescent="0.2">
      <c r="B4" s="26" t="s">
        <v>91</v>
      </c>
      <c r="C4" s="26"/>
      <c r="D4" s="26"/>
      <c r="E4" s="26" t="s">
        <v>92</v>
      </c>
      <c r="F4" s="26"/>
      <c r="G4" s="26"/>
      <c r="H4" s="26" t="s">
        <v>93</v>
      </c>
      <c r="I4" s="26"/>
      <c r="J4" s="26"/>
      <c r="K4" s="26" t="s">
        <v>94</v>
      </c>
      <c r="L4" s="26"/>
      <c r="M4" s="26"/>
      <c r="N4" s="26" t="s">
        <v>95</v>
      </c>
      <c r="O4" s="26"/>
      <c r="P4" s="26"/>
      <c r="Q4" s="26" t="s">
        <v>96</v>
      </c>
      <c r="R4" s="26"/>
      <c r="S4" s="26"/>
      <c r="T4" s="26" t="s">
        <v>97</v>
      </c>
      <c r="U4" s="26"/>
      <c r="V4" s="26"/>
    </row>
    <row r="5" spans="1:22" x14ac:dyDescent="0.2">
      <c r="A5" s="2" t="s">
        <v>13</v>
      </c>
      <c r="B5" s="2" t="s">
        <v>84</v>
      </c>
      <c r="C5" s="2" t="s">
        <v>85</v>
      </c>
      <c r="D5" s="2" t="s">
        <v>86</v>
      </c>
      <c r="E5" s="2" t="s">
        <v>84</v>
      </c>
      <c r="F5" s="2" t="s">
        <v>85</v>
      </c>
      <c r="G5" s="2" t="s">
        <v>86</v>
      </c>
      <c r="H5" s="2" t="s">
        <v>84</v>
      </c>
      <c r="I5" s="2" t="s">
        <v>85</v>
      </c>
      <c r="J5" s="2" t="s">
        <v>86</v>
      </c>
      <c r="K5" s="2" t="s">
        <v>84</v>
      </c>
      <c r="L5" s="2" t="s">
        <v>85</v>
      </c>
      <c r="M5" s="2" t="s">
        <v>86</v>
      </c>
      <c r="N5" s="2" t="s">
        <v>84</v>
      </c>
      <c r="O5" s="2" t="s">
        <v>85</v>
      </c>
      <c r="P5" s="2" t="s">
        <v>86</v>
      </c>
      <c r="Q5" s="2" t="s">
        <v>84</v>
      </c>
      <c r="R5" s="2" t="s">
        <v>85</v>
      </c>
      <c r="S5" s="2" t="s">
        <v>86</v>
      </c>
      <c r="T5" s="2" t="s">
        <v>84</v>
      </c>
      <c r="U5" s="2" t="s">
        <v>85</v>
      </c>
      <c r="V5" s="2" t="s">
        <v>86</v>
      </c>
    </row>
    <row r="6" spans="1:22" x14ac:dyDescent="0.2">
      <c r="A6" s="3" t="s">
        <v>18</v>
      </c>
      <c r="B6" s="4">
        <v>52</v>
      </c>
      <c r="C6" s="5">
        <v>0.51923079999999999</v>
      </c>
      <c r="D6" s="5">
        <v>0.86538459999999995</v>
      </c>
      <c r="E6" s="4">
        <v>222</v>
      </c>
      <c r="F6" s="5">
        <v>0.66666669999999995</v>
      </c>
      <c r="G6" s="5">
        <v>0.86486490000000005</v>
      </c>
      <c r="H6" s="4">
        <v>57</v>
      </c>
      <c r="I6" s="5">
        <v>0.7192982</v>
      </c>
      <c r="J6" s="5">
        <v>0.78947369999999994</v>
      </c>
      <c r="K6" s="4">
        <v>32</v>
      </c>
      <c r="L6" s="5">
        <v>0.6875</v>
      </c>
      <c r="M6" s="5">
        <v>0.75</v>
      </c>
      <c r="N6" s="4">
        <v>27</v>
      </c>
      <c r="O6" s="5">
        <v>0.74074070000000003</v>
      </c>
      <c r="P6" s="5">
        <v>0.74074070000000003</v>
      </c>
      <c r="Q6" s="4">
        <v>51</v>
      </c>
      <c r="R6" s="5">
        <v>0.76470590000000005</v>
      </c>
      <c r="S6" s="5">
        <v>0.84313729999999998</v>
      </c>
      <c r="T6" s="4">
        <v>14</v>
      </c>
      <c r="U6" s="5">
        <v>0.92857140000000005</v>
      </c>
      <c r="V6" s="5">
        <v>0.92857140000000005</v>
      </c>
    </row>
    <row r="7" spans="1:22" x14ac:dyDescent="0.2">
      <c r="A7" s="3" t="s">
        <v>19</v>
      </c>
      <c r="B7" s="3">
        <v>0</v>
      </c>
      <c r="C7" s="6">
        <v>0</v>
      </c>
      <c r="D7" s="6">
        <v>0</v>
      </c>
      <c r="E7" s="3">
        <v>0</v>
      </c>
      <c r="F7" s="6">
        <v>0</v>
      </c>
      <c r="G7" s="6">
        <v>0</v>
      </c>
      <c r="H7" s="3">
        <v>0</v>
      </c>
      <c r="I7" s="6">
        <v>0</v>
      </c>
      <c r="J7" s="6">
        <v>0</v>
      </c>
      <c r="K7" s="3">
        <v>0</v>
      </c>
      <c r="L7" s="6">
        <v>0</v>
      </c>
      <c r="M7" s="6">
        <v>0</v>
      </c>
      <c r="N7" s="3">
        <v>0</v>
      </c>
      <c r="O7" s="6">
        <v>0</v>
      </c>
      <c r="P7" s="6">
        <v>0</v>
      </c>
      <c r="Q7" s="3">
        <v>0</v>
      </c>
      <c r="R7" s="6">
        <v>0</v>
      </c>
      <c r="S7" s="6">
        <v>0</v>
      </c>
      <c r="T7" s="3">
        <v>0</v>
      </c>
      <c r="U7" s="6">
        <v>0</v>
      </c>
      <c r="V7" s="6">
        <v>0</v>
      </c>
    </row>
    <row r="8" spans="1:22" x14ac:dyDescent="0.2">
      <c r="A8" s="3" t="s">
        <v>20</v>
      </c>
      <c r="B8" s="4">
        <v>59</v>
      </c>
      <c r="C8" s="5">
        <v>0.44067800000000001</v>
      </c>
      <c r="D8" s="5">
        <v>0.67796610000000002</v>
      </c>
      <c r="E8" s="4">
        <v>204</v>
      </c>
      <c r="F8" s="5">
        <v>0.66176469999999998</v>
      </c>
      <c r="G8" s="5">
        <v>0.82843140000000004</v>
      </c>
      <c r="H8" s="4">
        <v>64</v>
      </c>
      <c r="I8" s="5">
        <v>0.828125</v>
      </c>
      <c r="J8" s="5">
        <v>0.875</v>
      </c>
      <c r="K8" s="4">
        <v>34</v>
      </c>
      <c r="L8" s="5">
        <v>0.85294119999999995</v>
      </c>
      <c r="M8" s="5">
        <v>0.91176469999999998</v>
      </c>
      <c r="N8" s="4">
        <v>28</v>
      </c>
      <c r="O8" s="5">
        <v>0.60714290000000004</v>
      </c>
      <c r="P8" s="5">
        <v>0.78571429999999998</v>
      </c>
      <c r="Q8" s="4">
        <v>45</v>
      </c>
      <c r="R8" s="5">
        <v>0.73333329999999997</v>
      </c>
      <c r="S8" s="5">
        <v>0.82222220000000001</v>
      </c>
      <c r="T8" s="4">
        <v>19</v>
      </c>
      <c r="U8" s="5">
        <v>0.68421050000000005</v>
      </c>
      <c r="V8" s="5">
        <v>0.84210529999999995</v>
      </c>
    </row>
    <row r="9" spans="1:22" x14ac:dyDescent="0.2">
      <c r="A9" s="3" t="s">
        <v>21</v>
      </c>
      <c r="B9" s="3">
        <v>0</v>
      </c>
      <c r="C9" s="6">
        <v>0</v>
      </c>
      <c r="D9" s="6">
        <v>0</v>
      </c>
      <c r="E9" s="3">
        <v>0</v>
      </c>
      <c r="F9" s="6">
        <v>0</v>
      </c>
      <c r="G9" s="6">
        <v>0</v>
      </c>
      <c r="H9" s="3">
        <v>0</v>
      </c>
      <c r="I9" s="6">
        <v>0</v>
      </c>
      <c r="J9" s="6">
        <v>0</v>
      </c>
      <c r="K9" s="3">
        <v>0</v>
      </c>
      <c r="L9" s="6">
        <v>0</v>
      </c>
      <c r="M9" s="6">
        <v>0</v>
      </c>
      <c r="N9" s="3">
        <v>0</v>
      </c>
      <c r="O9" s="6">
        <v>0</v>
      </c>
      <c r="P9" s="6">
        <v>0</v>
      </c>
      <c r="Q9" s="3">
        <v>0</v>
      </c>
      <c r="R9" s="6">
        <v>0</v>
      </c>
      <c r="S9" s="6">
        <v>0</v>
      </c>
      <c r="T9" s="3">
        <v>0</v>
      </c>
      <c r="U9" s="6">
        <v>0</v>
      </c>
      <c r="V9" s="6">
        <v>0</v>
      </c>
    </row>
    <row r="10" spans="1:22" x14ac:dyDescent="0.2">
      <c r="A10" s="3" t="s">
        <v>22</v>
      </c>
      <c r="B10" s="4">
        <v>67</v>
      </c>
      <c r="C10" s="5">
        <v>0.52238810000000002</v>
      </c>
      <c r="D10" s="5">
        <v>0.85074629999999996</v>
      </c>
      <c r="E10" s="4">
        <v>183</v>
      </c>
      <c r="F10" s="5">
        <v>0.61748630000000004</v>
      </c>
      <c r="G10" s="5">
        <v>0.88524590000000003</v>
      </c>
      <c r="H10" s="4">
        <v>97</v>
      </c>
      <c r="I10" s="5">
        <v>0.74226800000000004</v>
      </c>
      <c r="J10" s="5">
        <v>0.88659790000000005</v>
      </c>
      <c r="K10" s="4">
        <v>45</v>
      </c>
      <c r="L10" s="5">
        <v>0.75555559999999999</v>
      </c>
      <c r="M10" s="5">
        <v>0.91111109999999995</v>
      </c>
      <c r="N10" s="4">
        <v>21</v>
      </c>
      <c r="O10" s="5">
        <v>0.66666669999999995</v>
      </c>
      <c r="P10" s="5">
        <v>0.85714290000000004</v>
      </c>
      <c r="Q10" s="4">
        <v>39</v>
      </c>
      <c r="R10" s="5">
        <v>0.87179490000000004</v>
      </c>
      <c r="S10" s="5">
        <v>0.92307689999999998</v>
      </c>
      <c r="T10" s="4">
        <v>16</v>
      </c>
      <c r="U10" s="5">
        <v>0.625</v>
      </c>
      <c r="V10" s="5">
        <v>0.75</v>
      </c>
    </row>
    <row r="11" spans="1:22" x14ac:dyDescent="0.2">
      <c r="A11" s="3" t="s">
        <v>23</v>
      </c>
      <c r="B11" s="3">
        <v>2</v>
      </c>
      <c r="C11" s="6">
        <v>0.5</v>
      </c>
      <c r="D11" s="6">
        <v>1</v>
      </c>
      <c r="E11" s="3">
        <v>15</v>
      </c>
      <c r="F11" s="6">
        <v>0.93333330000000003</v>
      </c>
      <c r="G11" s="6">
        <v>1</v>
      </c>
      <c r="H11" s="3">
        <v>7</v>
      </c>
      <c r="I11" s="6">
        <v>1</v>
      </c>
      <c r="J11" s="6">
        <v>1</v>
      </c>
      <c r="K11" s="3">
        <v>4</v>
      </c>
      <c r="L11" s="6">
        <v>1</v>
      </c>
      <c r="M11" s="6">
        <v>1</v>
      </c>
      <c r="N11" s="3">
        <v>1</v>
      </c>
      <c r="O11" s="6">
        <v>1</v>
      </c>
      <c r="P11" s="6">
        <v>1</v>
      </c>
      <c r="Q11" s="3">
        <v>6</v>
      </c>
      <c r="R11" s="6">
        <v>1</v>
      </c>
      <c r="S11" s="6">
        <v>1</v>
      </c>
      <c r="T11" s="3">
        <v>1</v>
      </c>
      <c r="U11" s="6">
        <v>1</v>
      </c>
      <c r="V11" s="6">
        <v>1</v>
      </c>
    </row>
    <row r="12" spans="1:22" x14ac:dyDescent="0.2">
      <c r="A12" s="3" t="s">
        <v>24</v>
      </c>
      <c r="B12" s="4">
        <v>63</v>
      </c>
      <c r="C12" s="5">
        <v>0.65079370000000003</v>
      </c>
      <c r="D12" s="5">
        <v>0.85714290000000004</v>
      </c>
      <c r="E12" s="4">
        <v>224</v>
      </c>
      <c r="F12" s="5">
        <v>0.69642859999999995</v>
      </c>
      <c r="G12" s="5">
        <v>0.88839290000000004</v>
      </c>
      <c r="H12" s="4">
        <v>79</v>
      </c>
      <c r="I12" s="5">
        <v>0.59493669999999998</v>
      </c>
      <c r="J12" s="5">
        <v>0.83544300000000005</v>
      </c>
      <c r="K12" s="4">
        <v>42</v>
      </c>
      <c r="L12" s="5">
        <v>0.85714290000000004</v>
      </c>
      <c r="M12" s="5">
        <v>0.92857140000000005</v>
      </c>
      <c r="N12" s="4">
        <v>18</v>
      </c>
      <c r="O12" s="5">
        <v>0.83333330000000005</v>
      </c>
      <c r="P12" s="5">
        <v>0.88888889999999998</v>
      </c>
      <c r="Q12" s="4">
        <v>36</v>
      </c>
      <c r="R12" s="5">
        <v>0.83333330000000005</v>
      </c>
      <c r="S12" s="5">
        <v>0.91666669999999995</v>
      </c>
      <c r="T12" s="4">
        <v>13</v>
      </c>
      <c r="U12" s="5">
        <v>0.92307689999999998</v>
      </c>
      <c r="V12" s="5">
        <v>1</v>
      </c>
    </row>
    <row r="13" spans="1:22" x14ac:dyDescent="0.2">
      <c r="A13" s="3" t="s">
        <v>25</v>
      </c>
      <c r="B13" s="3">
        <v>0</v>
      </c>
      <c r="C13" s="6">
        <v>0</v>
      </c>
      <c r="D13" s="6">
        <v>0</v>
      </c>
      <c r="E13" s="3">
        <v>0</v>
      </c>
      <c r="F13" s="6">
        <v>0</v>
      </c>
      <c r="G13" s="6">
        <v>0</v>
      </c>
      <c r="H13" s="3">
        <v>0</v>
      </c>
      <c r="I13" s="6">
        <v>0</v>
      </c>
      <c r="J13" s="6">
        <v>0</v>
      </c>
      <c r="K13" s="3">
        <v>0</v>
      </c>
      <c r="L13" s="6">
        <v>0</v>
      </c>
      <c r="M13" s="6">
        <v>0</v>
      </c>
      <c r="N13" s="3">
        <v>0</v>
      </c>
      <c r="O13" s="6">
        <v>0</v>
      </c>
      <c r="P13" s="6">
        <v>0</v>
      </c>
      <c r="Q13" s="3">
        <v>0</v>
      </c>
      <c r="R13" s="6">
        <v>0</v>
      </c>
      <c r="S13" s="6">
        <v>0</v>
      </c>
      <c r="T13" s="3">
        <v>0</v>
      </c>
      <c r="U13" s="6">
        <v>0</v>
      </c>
      <c r="V13" s="6">
        <v>0</v>
      </c>
    </row>
    <row r="14" spans="1:22" x14ac:dyDescent="0.2">
      <c r="A14" s="3" t="s">
        <v>26</v>
      </c>
      <c r="B14" s="4">
        <v>57</v>
      </c>
      <c r="C14" s="5">
        <v>0.84210529999999995</v>
      </c>
      <c r="D14" s="5">
        <v>0.9298246</v>
      </c>
      <c r="E14" s="4">
        <v>186</v>
      </c>
      <c r="F14" s="5">
        <v>0.79569889999999999</v>
      </c>
      <c r="G14" s="5">
        <v>0.89247310000000002</v>
      </c>
      <c r="H14" s="4">
        <v>80</v>
      </c>
      <c r="I14" s="5">
        <v>0.875</v>
      </c>
      <c r="J14" s="5">
        <v>0.9375</v>
      </c>
      <c r="K14" s="4">
        <v>37</v>
      </c>
      <c r="L14" s="5">
        <v>0.89189189999999996</v>
      </c>
      <c r="M14" s="5">
        <v>0.94594590000000001</v>
      </c>
      <c r="N14" s="4">
        <v>31</v>
      </c>
      <c r="O14" s="5">
        <v>0.96774190000000004</v>
      </c>
      <c r="P14" s="5">
        <v>0.96774190000000004</v>
      </c>
      <c r="Q14" s="4">
        <v>58</v>
      </c>
      <c r="R14" s="5">
        <v>0.91379310000000002</v>
      </c>
      <c r="S14" s="5">
        <v>0.94827589999999995</v>
      </c>
      <c r="T14" s="4">
        <v>19</v>
      </c>
      <c r="U14" s="5">
        <v>0.84210529999999995</v>
      </c>
      <c r="V14" s="5">
        <v>0.8947368</v>
      </c>
    </row>
    <row r="15" spans="1:22" x14ac:dyDescent="0.2">
      <c r="A15" s="3" t="s">
        <v>27</v>
      </c>
      <c r="B15" s="3">
        <v>8</v>
      </c>
      <c r="C15" s="6">
        <v>1</v>
      </c>
      <c r="D15" s="6">
        <v>1</v>
      </c>
      <c r="E15" s="3">
        <v>21</v>
      </c>
      <c r="F15" s="6">
        <v>0.90476190000000001</v>
      </c>
      <c r="G15" s="6">
        <v>0.90476190000000001</v>
      </c>
      <c r="H15" s="3">
        <v>13</v>
      </c>
      <c r="I15" s="6">
        <v>1</v>
      </c>
      <c r="J15" s="6">
        <v>1</v>
      </c>
      <c r="K15" s="3">
        <v>5</v>
      </c>
      <c r="L15" s="6">
        <v>1</v>
      </c>
      <c r="M15" s="6">
        <v>1</v>
      </c>
      <c r="N15" s="3">
        <v>5</v>
      </c>
      <c r="O15" s="6">
        <v>1</v>
      </c>
      <c r="P15" s="6">
        <v>1</v>
      </c>
      <c r="Q15" s="3">
        <v>15</v>
      </c>
      <c r="R15" s="6">
        <v>1</v>
      </c>
      <c r="S15" s="6">
        <v>1</v>
      </c>
      <c r="T15" s="3">
        <v>2</v>
      </c>
      <c r="U15" s="6">
        <v>1</v>
      </c>
      <c r="V15" s="6">
        <v>1</v>
      </c>
    </row>
    <row r="16" spans="1:22" x14ac:dyDescent="0.2">
      <c r="A16" s="3" t="s">
        <v>28</v>
      </c>
      <c r="B16" s="4">
        <v>52</v>
      </c>
      <c r="C16" s="5">
        <v>0.82692310000000002</v>
      </c>
      <c r="D16" s="5">
        <v>1</v>
      </c>
      <c r="E16" s="4">
        <v>206</v>
      </c>
      <c r="F16" s="5">
        <v>0.82038829999999996</v>
      </c>
      <c r="G16" s="5">
        <v>0.92718449999999997</v>
      </c>
      <c r="H16" s="4">
        <v>96</v>
      </c>
      <c r="I16" s="5">
        <v>0.86458330000000005</v>
      </c>
      <c r="J16" s="5">
        <v>0.9375</v>
      </c>
      <c r="K16" s="4">
        <v>47</v>
      </c>
      <c r="L16" s="5">
        <v>0.85106380000000004</v>
      </c>
      <c r="M16" s="5">
        <v>0.87234040000000002</v>
      </c>
      <c r="N16" s="4">
        <v>34</v>
      </c>
      <c r="O16" s="5">
        <v>0.94117649999999997</v>
      </c>
      <c r="P16" s="5">
        <v>0.97058820000000001</v>
      </c>
      <c r="Q16" s="4">
        <v>39</v>
      </c>
      <c r="R16" s="5">
        <v>0.9487179</v>
      </c>
      <c r="S16" s="5">
        <v>0.9487179</v>
      </c>
      <c r="T16" s="4">
        <v>19</v>
      </c>
      <c r="U16" s="5">
        <v>0.84210529999999995</v>
      </c>
      <c r="V16" s="5">
        <v>0.8947368</v>
      </c>
    </row>
    <row r="17" spans="1:22" x14ac:dyDescent="0.2">
      <c r="A17" s="3" t="s">
        <v>29</v>
      </c>
      <c r="B17" s="3">
        <v>4</v>
      </c>
      <c r="C17" s="6">
        <v>0.25</v>
      </c>
      <c r="D17" s="6">
        <v>1</v>
      </c>
      <c r="E17" s="3">
        <v>8</v>
      </c>
      <c r="F17" s="6">
        <v>0.875</v>
      </c>
      <c r="G17" s="6">
        <v>1</v>
      </c>
      <c r="H17" s="3">
        <v>5</v>
      </c>
      <c r="I17" s="6">
        <v>0.8</v>
      </c>
      <c r="J17" s="6">
        <v>1</v>
      </c>
      <c r="K17" s="3">
        <v>2</v>
      </c>
      <c r="L17" s="6">
        <v>0.5</v>
      </c>
      <c r="M17" s="6">
        <v>1</v>
      </c>
      <c r="N17" s="3">
        <v>0</v>
      </c>
      <c r="O17" s="6">
        <v>0</v>
      </c>
      <c r="P17" s="6">
        <v>0</v>
      </c>
      <c r="Q17" s="3">
        <v>3</v>
      </c>
      <c r="R17" s="6">
        <v>0.66666669999999995</v>
      </c>
      <c r="S17" s="6">
        <v>1</v>
      </c>
      <c r="T17" s="3">
        <v>2</v>
      </c>
      <c r="U17" s="6">
        <v>0.5</v>
      </c>
      <c r="V17" s="6">
        <v>1</v>
      </c>
    </row>
    <row r="18" spans="1:22" x14ac:dyDescent="0.2">
      <c r="A18" s="7" t="s">
        <v>87</v>
      </c>
      <c r="B18" s="8">
        <f>SUM(B6:B17)</f>
        <v>364</v>
      </c>
      <c r="C18" s="9">
        <f>IF(B18=0, "", ((B6*C6)+(B7*C7)+(B8*C8)+(B9*C9)+(B10*C10)+(B11*C11)+(B12*C12)+(B13*C13)+(B14*C14)+(B15*C15)+(B16*C16)+(B17*C17))/B18)</f>
        <v>0.63186816675824176</v>
      </c>
      <c r="D18" s="9">
        <f>IF(B18=0, "", ((B6*D6)+(B7*D7)+(B8*D8)+(B9*D9)+(B10*D10)+(B11*D11)+(B12*D12)+(B13*D13)+(B14*D14)+(B15*D15)+(B16*D16)+(B17*D17))/B18)</f>
        <v>0.86538463214285721</v>
      </c>
      <c r="E18" s="8">
        <f>SUM(E6:E17)</f>
        <v>1269</v>
      </c>
      <c r="F18" s="9">
        <f>IF(E18=0, "", ((E6*F6)+(E7*F7)+(E8*F8)+(E9*F9)+(E10*F10)+(E11*F11)+(E12*F12)+(E13*F13)+(E14*F14)+(E15*F15)+(E16*F16)+(E17*F17))/E18)</f>
        <v>0.71631204893617018</v>
      </c>
      <c r="G18" s="9">
        <f>IF(E18=0, "", ((E6*G6)+(E7*G7)+(E8*G8)+(E9*G9)+(E10*G10)+(E11*G11)+(E12*G12)+(E13*G13)+(E14*G14)+(E15*G15)+(E16*G16)+(E17*G17))/E18)</f>
        <v>0.88337275508274238</v>
      </c>
      <c r="H18" s="8">
        <f>SUM(H6:H17)</f>
        <v>498</v>
      </c>
      <c r="I18" s="9">
        <f>IF(H18=0, "", ((H6*I6)+(H7*I7)+(H8*I8)+(H9*I9)+(H10*I10)+(H11*I11)+(H12*I12)+(H13*I13)+(H14*I14)+(H15*I15)+(H16*I16)+(H17*I17))/H18)</f>
        <v>0.78313250903614462</v>
      </c>
      <c r="J18" s="9">
        <f>IF(H18=0, "", ((H6*J6)+(H7*J7)+(H8*J8)+(H9*J9)+(H10*J10)+(H11*J11)+(H12*J12)+(H13*J13)+(H14*J14)+(H15*J15)+(H16*J16)+(H17*J17))/H18)</f>
        <v>0.88955822128514062</v>
      </c>
      <c r="K18" s="8">
        <f>SUM(K6:K17)</f>
        <v>248</v>
      </c>
      <c r="L18" s="9">
        <f>IF(K18=0, "", ((K6*L6)+(K7*L7)+(K8*L8)+(K9*L9)+(K10*L10)+(K11*L11)+(K12*L12)+(K13*L13)+(K14*L14)+(K15*L15)+(K16*L16)+(K17*L17))/K18)</f>
        <v>0.82258065927419366</v>
      </c>
      <c r="M18" s="9">
        <f>IF(K18=0, "", ((K6*M6)+(K7*M7)+(K8*M8)+(K9*M9)+(K10*M10)+(K11*M11)+(K12*M12)+(K13*M13)+(K14*M14)+(K15*M15)+(K16*M16)+(K17*M17))/K18)</f>
        <v>0.8951612709677419</v>
      </c>
      <c r="N18" s="8">
        <f>SUM(N6:N17)</f>
        <v>165</v>
      </c>
      <c r="O18" s="9">
        <f>IF(N18=0, "", ((N6*O6)+(N7*O7)+(N8*O8)+(N9*O9)+(N10*O10)+(N11*O11)+(N12*O12)+(N13*O13)+(N14*O14)+(N15*O15)+(N16*O16)+(N17*O17))/N18)</f>
        <v>0.81212121272727267</v>
      </c>
      <c r="P18" s="9">
        <f>IF(N18=0, "", ((N6*P6)+(N7*P7)+(N8*P8)+(N9*P9)+(N10*P10)+(N11*P11)+(N12*P12)+(N13*P13)+(N14*P14)+(N15*P15)+(N16*P16)+(N17*P17))/N18)</f>
        <v>0.8787878672727274</v>
      </c>
      <c r="Q18" s="8">
        <f>SUM(Q6:Q17)</f>
        <v>292</v>
      </c>
      <c r="R18" s="9">
        <f>IF(Q18=0, "", ((Q6*R6)+(Q7*R7)+(Q8*R8)+(Q9*R9)+(Q10*R10)+(Q11*R11)+(Q12*R12)+(Q13*R13)+(Q14*R14)+(Q15*R15)+(Q16*R16)+(Q17*R17))/Q18)</f>
        <v>0.85273971678082194</v>
      </c>
      <c r="S18" s="9">
        <f>IF(Q18=0, "", ((Q6*S6)+(Q7*S7)+(Q8*S8)+(Q9*S9)+(Q10*S10)+(Q11*S11)+(Q12*S12)+(Q13*S13)+(Q14*S14)+(Q15*S15)+(Q16*S16)+(Q17*S17))/Q18)</f>
        <v>0.90753425308219193</v>
      </c>
      <c r="T18" s="8">
        <f>SUM(T6:T17)</f>
        <v>105</v>
      </c>
      <c r="U18" s="9">
        <f>IF(T18=0, "", ((T6*U6)+(T7*U7)+(T8*U8)+(T9*U9)+(T10*U10)+(T11*U11)+(T12*U12)+(T13*U13)+(T14*U14)+(T15*U15)+(T16*U16)+(T17*U17))/T18)</f>
        <v>0.80000000190476195</v>
      </c>
      <c r="V18" s="9">
        <f>IF(T18=0, "", ((T6*V6)+(T7*V7)+(T8*V8)+(T9*V9)+(T10*V10)+(T11*V11)+(T12*V12)+(T13*V13)+(T14*V14)+(T15*V15)+(T16*V16)+(T17*V17))/T18)</f>
        <v>0.88571427333333341</v>
      </c>
    </row>
    <row r="20" spans="1:22" x14ac:dyDescent="0.2">
      <c r="B20" s="26" t="s">
        <v>91</v>
      </c>
      <c r="C20" s="26"/>
      <c r="D20" s="26"/>
      <c r="E20" s="26" t="s">
        <v>92</v>
      </c>
      <c r="F20" s="26"/>
      <c r="G20" s="26"/>
      <c r="H20" s="26" t="s">
        <v>93</v>
      </c>
      <c r="I20" s="26"/>
      <c r="J20" s="26"/>
      <c r="K20" s="26" t="s">
        <v>94</v>
      </c>
      <c r="L20" s="26"/>
      <c r="M20" s="26"/>
      <c r="N20" s="26" t="s">
        <v>95</v>
      </c>
      <c r="O20" s="26"/>
      <c r="P20" s="26"/>
      <c r="Q20" s="26" t="s">
        <v>96</v>
      </c>
      <c r="R20" s="26"/>
      <c r="S20" s="26"/>
      <c r="T20" s="26" t="s">
        <v>97</v>
      </c>
      <c r="U20" s="26"/>
      <c r="V20" s="26"/>
    </row>
    <row r="21" spans="1:22" x14ac:dyDescent="0.2">
      <c r="A21" s="2" t="s">
        <v>31</v>
      </c>
      <c r="B21" s="2" t="s">
        <v>84</v>
      </c>
      <c r="C21" s="2" t="s">
        <v>85</v>
      </c>
      <c r="D21" s="2" t="s">
        <v>86</v>
      </c>
      <c r="E21" s="2" t="s">
        <v>84</v>
      </c>
      <c r="F21" s="2" t="s">
        <v>85</v>
      </c>
      <c r="G21" s="2" t="s">
        <v>86</v>
      </c>
      <c r="H21" s="2" t="s">
        <v>84</v>
      </c>
      <c r="I21" s="2" t="s">
        <v>85</v>
      </c>
      <c r="J21" s="2" t="s">
        <v>86</v>
      </c>
      <c r="K21" s="2" t="s">
        <v>84</v>
      </c>
      <c r="L21" s="2" t="s">
        <v>85</v>
      </c>
      <c r="M21" s="2" t="s">
        <v>86</v>
      </c>
      <c r="N21" s="2" t="s">
        <v>84</v>
      </c>
      <c r="O21" s="2" t="s">
        <v>85</v>
      </c>
      <c r="P21" s="2" t="s">
        <v>86</v>
      </c>
      <c r="Q21" s="2" t="s">
        <v>84</v>
      </c>
      <c r="R21" s="2" t="s">
        <v>85</v>
      </c>
      <c r="S21" s="2" t="s">
        <v>86</v>
      </c>
      <c r="T21" s="2" t="s">
        <v>84</v>
      </c>
      <c r="U21" s="2" t="s">
        <v>85</v>
      </c>
      <c r="V21" s="2" t="s">
        <v>86</v>
      </c>
    </row>
    <row r="22" spans="1:22" x14ac:dyDescent="0.2">
      <c r="A22" s="3" t="s">
        <v>57</v>
      </c>
      <c r="B22" s="4">
        <v>111</v>
      </c>
      <c r="C22" s="5">
        <v>0.4774775</v>
      </c>
      <c r="D22" s="5">
        <v>0.76576580000000005</v>
      </c>
      <c r="E22" s="4">
        <v>426</v>
      </c>
      <c r="F22" s="5">
        <v>0.6643192</v>
      </c>
      <c r="G22" s="5">
        <v>0.8474178</v>
      </c>
      <c r="H22" s="4">
        <v>121</v>
      </c>
      <c r="I22" s="5">
        <v>0.77685950000000004</v>
      </c>
      <c r="J22" s="5">
        <v>0.83471070000000003</v>
      </c>
      <c r="K22" s="4">
        <v>66</v>
      </c>
      <c r="L22" s="5">
        <v>0.77272730000000001</v>
      </c>
      <c r="M22" s="5">
        <v>0.83333330000000005</v>
      </c>
      <c r="N22" s="4">
        <v>55</v>
      </c>
      <c r="O22" s="5">
        <v>0.67272730000000003</v>
      </c>
      <c r="P22" s="5">
        <v>0.76363639999999999</v>
      </c>
      <c r="Q22" s="4">
        <v>96</v>
      </c>
      <c r="R22" s="5">
        <v>0.75</v>
      </c>
      <c r="S22" s="5">
        <v>0.83333330000000005</v>
      </c>
      <c r="T22" s="4">
        <v>33</v>
      </c>
      <c r="U22" s="5">
        <v>0.78787879999999999</v>
      </c>
      <c r="V22" s="5">
        <v>0.87878789999999996</v>
      </c>
    </row>
    <row r="23" spans="1:22" x14ac:dyDescent="0.2">
      <c r="A23" s="3" t="s">
        <v>58</v>
      </c>
      <c r="B23" s="3">
        <v>132</v>
      </c>
      <c r="C23" s="6">
        <v>0.58333330000000005</v>
      </c>
      <c r="D23" s="6">
        <v>0.85606059999999995</v>
      </c>
      <c r="E23" s="3">
        <v>422</v>
      </c>
      <c r="F23" s="6">
        <v>0.67061610000000005</v>
      </c>
      <c r="G23" s="6">
        <v>0.89099530000000005</v>
      </c>
      <c r="H23" s="3">
        <v>183</v>
      </c>
      <c r="I23" s="6">
        <v>0.68852460000000004</v>
      </c>
      <c r="J23" s="6">
        <v>0.86885250000000003</v>
      </c>
      <c r="K23" s="3">
        <v>91</v>
      </c>
      <c r="L23" s="6">
        <v>0.81318679999999999</v>
      </c>
      <c r="M23" s="6">
        <v>0.92307689999999998</v>
      </c>
      <c r="N23" s="3">
        <v>40</v>
      </c>
      <c r="O23" s="6">
        <v>0.75</v>
      </c>
      <c r="P23" s="6">
        <v>0.875</v>
      </c>
      <c r="Q23" s="3">
        <v>81</v>
      </c>
      <c r="R23" s="6">
        <v>0.86419749999999995</v>
      </c>
      <c r="S23" s="6">
        <v>0.92592589999999997</v>
      </c>
      <c r="T23" s="3">
        <v>30</v>
      </c>
      <c r="U23" s="6">
        <v>0.76666670000000003</v>
      </c>
      <c r="V23" s="6">
        <v>0.86666670000000001</v>
      </c>
    </row>
    <row r="24" spans="1:22" x14ac:dyDescent="0.2">
      <c r="A24" s="3" t="s">
        <v>59</v>
      </c>
      <c r="B24" s="4">
        <v>121</v>
      </c>
      <c r="C24" s="5">
        <v>0.82644629999999997</v>
      </c>
      <c r="D24" s="5">
        <v>0.96694210000000003</v>
      </c>
      <c r="E24" s="4">
        <v>421</v>
      </c>
      <c r="F24" s="5">
        <v>0.81472679999999997</v>
      </c>
      <c r="G24" s="5">
        <v>0.91211399999999998</v>
      </c>
      <c r="H24" s="4">
        <v>194</v>
      </c>
      <c r="I24" s="5">
        <v>0.87628870000000003</v>
      </c>
      <c r="J24" s="5">
        <v>0.943299</v>
      </c>
      <c r="K24" s="4">
        <v>91</v>
      </c>
      <c r="L24" s="5">
        <v>0.86813189999999996</v>
      </c>
      <c r="M24" s="5">
        <v>0.91208789999999995</v>
      </c>
      <c r="N24" s="4">
        <v>70</v>
      </c>
      <c r="O24" s="5">
        <v>0.95714290000000002</v>
      </c>
      <c r="P24" s="5">
        <v>0.97142859999999998</v>
      </c>
      <c r="Q24" s="4">
        <v>115</v>
      </c>
      <c r="R24" s="5">
        <v>0.93043480000000001</v>
      </c>
      <c r="S24" s="5">
        <v>0.95652170000000003</v>
      </c>
      <c r="T24" s="4">
        <v>42</v>
      </c>
      <c r="U24" s="5">
        <v>0.83333330000000005</v>
      </c>
      <c r="V24" s="5">
        <v>0.90476190000000001</v>
      </c>
    </row>
    <row r="25" spans="1:22" x14ac:dyDescent="0.2">
      <c r="A25" s="7" t="s">
        <v>87</v>
      </c>
      <c r="B25" s="8">
        <f>SUM(B22:B24)</f>
        <v>364</v>
      </c>
      <c r="C25" s="9">
        <f>IF(B25=0, "", ((B22*C22)+(B23*C23)+(B24*C24))/B25)</f>
        <v>0.63186813296703292</v>
      </c>
      <c r="D25" s="9">
        <f>IF(B25=0, "", ((B22*D22)+(B23*D23)+(B24*D24))/B25)</f>
        <v>0.86538460741758239</v>
      </c>
      <c r="E25" s="8">
        <f>SUM(E22:E24)</f>
        <v>1269</v>
      </c>
      <c r="F25" s="9">
        <f>IF(E25=0, "", ((E22*F22)+(E23*F23)+(E24*F24))/E25)</f>
        <v>0.71631202222222223</v>
      </c>
      <c r="G25" s="9">
        <f>IF(E25=0, "", ((E22*G22)+(E23*G23)+(E24*G24))/E25)</f>
        <v>0.8833727292356186</v>
      </c>
      <c r="H25" s="8">
        <f>SUM(H22:H24)</f>
        <v>498</v>
      </c>
      <c r="I25" s="9">
        <f>IF(H25=0, "", ((H22*I22)+(H23*I23)+(H24*I24))/H25)</f>
        <v>0.78313254839357438</v>
      </c>
      <c r="J25" s="9">
        <f>IF(H25=0, "", ((H22*J22)+(H23*J23)+(H24*J24))/H25)</f>
        <v>0.88955824939759043</v>
      </c>
      <c r="K25" s="8">
        <f>SUM(K22:K24)</f>
        <v>248</v>
      </c>
      <c r="L25" s="9">
        <f>IF(K25=0, "", ((K22*L22)+(K23*L23)+(K24*L24))/K25)</f>
        <v>0.82258065927419355</v>
      </c>
      <c r="M25" s="9">
        <f>IF(K25=0, "", ((K22*M22)+(K23*M23)+(K24*M24))/K25)</f>
        <v>0.89516126854838707</v>
      </c>
      <c r="N25" s="8">
        <f>SUM(N22:N24)</f>
        <v>165</v>
      </c>
      <c r="O25" s="9">
        <f>IF(N25=0, "", ((N22*O22)+(N23*O23)+(N24*O24))/N25)</f>
        <v>0.81212123939393932</v>
      </c>
      <c r="P25" s="9">
        <f>IF(N25=0, "", ((N22*P22)+(N23*P23)+(N24*P24))/N25)</f>
        <v>0.87878790303030296</v>
      </c>
      <c r="Q25" s="8">
        <f>SUM(Q22:Q24)</f>
        <v>292</v>
      </c>
      <c r="R25" s="9">
        <f>IF(Q25=0, "", ((Q22*R22)+(Q23*R23)+(Q24*R24))/Q25)</f>
        <v>0.8527397243150685</v>
      </c>
      <c r="S25" s="9">
        <f>IF(Q25=0, "", ((Q22*S22)+(Q23*S23)+(Q24*S24))/Q25)</f>
        <v>0.90753421301369863</v>
      </c>
      <c r="T25" s="8">
        <f>SUM(T22:T24)</f>
        <v>105</v>
      </c>
      <c r="U25" s="9">
        <f>IF(T25=0, "", ((T22*U22)+(T23*U23)+(T24*U24))/T25)</f>
        <v>0.8</v>
      </c>
      <c r="V25" s="9">
        <f>IF(T25=0, "", ((T22*V22)+(T23*V23)+(T24*V24))/T25)</f>
        <v>0.88571429999999995</v>
      </c>
    </row>
    <row r="28" spans="1:22" ht="21" x14ac:dyDescent="0.35">
      <c r="A28" s="23" t="s">
        <v>35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30" spans="1:22" x14ac:dyDescent="0.2">
      <c r="A30" s="27" t="s">
        <v>36</v>
      </c>
      <c r="B30" s="28"/>
      <c r="C30" s="29" t="s">
        <v>37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x14ac:dyDescent="0.2">
      <c r="A31" s="27" t="s">
        <v>40</v>
      </c>
      <c r="B31" s="28"/>
      <c r="C31" s="29" t="s">
        <v>41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</row>
    <row r="32" spans="1:22" x14ac:dyDescent="0.2">
      <c r="A32" s="27" t="s">
        <v>73</v>
      </c>
      <c r="B32" s="28"/>
      <c r="C32" s="29" t="s">
        <v>88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 x14ac:dyDescent="0.2">
      <c r="A33" s="27" t="s">
        <v>75</v>
      </c>
      <c r="B33" s="28"/>
      <c r="C33" s="29" t="s">
        <v>76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</row>
  </sheetData>
  <sheetProtection formatCells="0" formatColumns="0" formatRows="0" insertColumns="0" insertRows="0" insertHyperlinks="0" deleteColumns="0" deleteRows="0" sort="0" autoFilter="0" pivotTables="0"/>
  <mergeCells count="25">
    <mergeCell ref="A31:B31"/>
    <mergeCell ref="C31:V31"/>
    <mergeCell ref="A32:B32"/>
    <mergeCell ref="C32:V32"/>
    <mergeCell ref="A33:B33"/>
    <mergeCell ref="C33:V33"/>
    <mergeCell ref="Q20:S20"/>
    <mergeCell ref="T20:V20"/>
    <mergeCell ref="A28:V28"/>
    <mergeCell ref="A30:B30"/>
    <mergeCell ref="C30:V30"/>
    <mergeCell ref="B20:D20"/>
    <mergeCell ref="E20:G20"/>
    <mergeCell ref="H20:J20"/>
    <mergeCell ref="K20:M20"/>
    <mergeCell ref="N20:P20"/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ageMargins left="0.4" right="0.4" top="0.6" bottom="0.6" header="0.3" footer="0.3"/>
  <pageSetup fitToHeight="0" orientation="landscape"/>
  <headerFooter>
    <oddHeader>&amp;L&amp;B2017-2018 IVC Research Report for CDEV&amp;RPrinted on &amp;D</oddHeader>
    <oddFooter>&amp;L&amp;BGenerated By: Office of Institutional Research&amp;RPage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>
      <selection activeCell="A33" sqref="A33:B33"/>
    </sheetView>
  </sheetViews>
  <sheetFormatPr defaultRowHeight="12.75" x14ac:dyDescent="0.2"/>
  <cols>
    <col min="1" max="1" width="16" customWidth="1"/>
    <col min="2" max="2" width="6" customWidth="1"/>
    <col min="3" max="4" width="17" customWidth="1"/>
    <col min="5" max="5" width="6" customWidth="1"/>
    <col min="6" max="7" width="17" customWidth="1"/>
    <col min="8" max="8" width="6" customWidth="1"/>
    <col min="9" max="10" width="17" customWidth="1"/>
  </cols>
  <sheetData>
    <row r="1" spans="1:10" ht="21" x14ac:dyDescent="0.35">
      <c r="A1" s="23" t="s">
        <v>98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5.75" x14ac:dyDescent="0.25">
      <c r="A2" s="25" t="s">
        <v>99</v>
      </c>
      <c r="B2" s="24"/>
      <c r="C2" s="24"/>
      <c r="D2" s="24"/>
      <c r="E2" s="24"/>
      <c r="F2" s="24"/>
      <c r="G2" s="24"/>
      <c r="H2" s="24"/>
      <c r="I2" s="24"/>
      <c r="J2" s="24"/>
    </row>
    <row r="4" spans="1:10" x14ac:dyDescent="0.2">
      <c r="B4" s="26" t="s">
        <v>100</v>
      </c>
      <c r="C4" s="26"/>
      <c r="D4" s="26"/>
      <c r="E4" s="26" t="s">
        <v>101</v>
      </c>
      <c r="F4" s="26"/>
      <c r="G4" s="26"/>
      <c r="H4" s="26" t="s">
        <v>102</v>
      </c>
      <c r="I4" s="26"/>
      <c r="J4" s="26"/>
    </row>
    <row r="5" spans="1:10" x14ac:dyDescent="0.2">
      <c r="A5" s="2" t="s">
        <v>13</v>
      </c>
      <c r="B5" s="2" t="s">
        <v>84</v>
      </c>
      <c r="C5" s="2" t="s">
        <v>85</v>
      </c>
      <c r="D5" s="2" t="s">
        <v>86</v>
      </c>
      <c r="E5" s="2" t="s">
        <v>84</v>
      </c>
      <c r="F5" s="2" t="s">
        <v>85</v>
      </c>
      <c r="G5" s="2" t="s">
        <v>86</v>
      </c>
      <c r="H5" s="2" t="s">
        <v>84</v>
      </c>
      <c r="I5" s="2" t="s">
        <v>85</v>
      </c>
      <c r="J5" s="2" t="s">
        <v>86</v>
      </c>
    </row>
    <row r="6" spans="1:10" x14ac:dyDescent="0.2">
      <c r="A6" s="3" t="s">
        <v>18</v>
      </c>
      <c r="B6" s="4">
        <v>414</v>
      </c>
      <c r="C6" s="5">
        <v>0.68840579999999996</v>
      </c>
      <c r="D6" s="5">
        <v>0.84299519999999994</v>
      </c>
      <c r="E6" s="4">
        <v>40</v>
      </c>
      <c r="F6" s="5">
        <v>0.625</v>
      </c>
      <c r="G6" s="5">
        <v>0.82499999999999996</v>
      </c>
      <c r="H6" s="4">
        <v>1</v>
      </c>
      <c r="I6" s="5">
        <v>0</v>
      </c>
      <c r="J6" s="5">
        <v>0</v>
      </c>
    </row>
    <row r="7" spans="1:10" x14ac:dyDescent="0.2">
      <c r="A7" s="3" t="s">
        <v>19</v>
      </c>
      <c r="B7" s="3">
        <v>0</v>
      </c>
      <c r="C7" s="6">
        <v>0</v>
      </c>
      <c r="D7" s="6">
        <v>0</v>
      </c>
      <c r="E7" s="3">
        <v>0</v>
      </c>
      <c r="F7" s="6">
        <v>0</v>
      </c>
      <c r="G7" s="6">
        <v>0</v>
      </c>
      <c r="H7" s="3">
        <v>0</v>
      </c>
      <c r="I7" s="6">
        <v>0</v>
      </c>
      <c r="J7" s="6">
        <v>0</v>
      </c>
    </row>
    <row r="8" spans="1:10" x14ac:dyDescent="0.2">
      <c r="A8" s="3" t="s">
        <v>20</v>
      </c>
      <c r="B8" s="4">
        <v>414</v>
      </c>
      <c r="C8" s="5">
        <v>0.67874400000000001</v>
      </c>
      <c r="D8" s="5">
        <v>0.8236715</v>
      </c>
      <c r="E8" s="4">
        <v>39</v>
      </c>
      <c r="F8" s="5">
        <v>0.64102559999999997</v>
      </c>
      <c r="G8" s="5">
        <v>0.76923079999999999</v>
      </c>
      <c r="H8" s="4">
        <v>0</v>
      </c>
      <c r="I8" s="5">
        <v>0</v>
      </c>
      <c r="J8" s="5">
        <v>0</v>
      </c>
    </row>
    <row r="9" spans="1:10" x14ac:dyDescent="0.2">
      <c r="A9" s="3" t="s">
        <v>21</v>
      </c>
      <c r="B9" s="3">
        <v>0</v>
      </c>
      <c r="C9" s="6">
        <v>0</v>
      </c>
      <c r="D9" s="6">
        <v>0</v>
      </c>
      <c r="E9" s="3">
        <v>0</v>
      </c>
      <c r="F9" s="6">
        <v>0</v>
      </c>
      <c r="G9" s="6">
        <v>0</v>
      </c>
      <c r="H9" s="3">
        <v>0</v>
      </c>
      <c r="I9" s="6">
        <v>0</v>
      </c>
      <c r="J9" s="6">
        <v>0</v>
      </c>
    </row>
    <row r="10" spans="1:10" x14ac:dyDescent="0.2">
      <c r="A10" s="3" t="s">
        <v>22</v>
      </c>
      <c r="B10" s="4">
        <v>441</v>
      </c>
      <c r="C10" s="5">
        <v>0.6734694</v>
      </c>
      <c r="D10" s="5">
        <v>0.88208620000000004</v>
      </c>
      <c r="E10" s="4">
        <v>26</v>
      </c>
      <c r="F10" s="5">
        <v>0.53846150000000004</v>
      </c>
      <c r="G10" s="5">
        <v>0.84615379999999996</v>
      </c>
      <c r="H10" s="4">
        <v>1</v>
      </c>
      <c r="I10" s="5">
        <v>1</v>
      </c>
      <c r="J10" s="5">
        <v>1</v>
      </c>
    </row>
    <row r="11" spans="1:10" x14ac:dyDescent="0.2">
      <c r="A11" s="3" t="s">
        <v>23</v>
      </c>
      <c r="B11" s="3">
        <v>35</v>
      </c>
      <c r="C11" s="6">
        <v>0.97142859999999998</v>
      </c>
      <c r="D11" s="6">
        <v>1</v>
      </c>
      <c r="E11" s="3">
        <v>1</v>
      </c>
      <c r="F11" s="6">
        <v>0</v>
      </c>
      <c r="G11" s="6">
        <v>1</v>
      </c>
      <c r="H11" s="3">
        <v>0</v>
      </c>
      <c r="I11" s="6">
        <v>0</v>
      </c>
      <c r="J11" s="6">
        <v>0</v>
      </c>
    </row>
    <row r="12" spans="1:10" x14ac:dyDescent="0.2">
      <c r="A12" s="3" t="s">
        <v>24</v>
      </c>
      <c r="B12" s="4">
        <v>437</v>
      </c>
      <c r="C12" s="5">
        <v>0.72311210000000004</v>
      </c>
      <c r="D12" s="5">
        <v>0.89702519999999997</v>
      </c>
      <c r="E12" s="4">
        <v>37</v>
      </c>
      <c r="F12" s="5">
        <v>0.56756759999999995</v>
      </c>
      <c r="G12" s="5">
        <v>0.72972970000000004</v>
      </c>
      <c r="H12" s="4">
        <v>1</v>
      </c>
      <c r="I12" s="5">
        <v>0</v>
      </c>
      <c r="J12" s="5">
        <v>1</v>
      </c>
    </row>
    <row r="13" spans="1:10" x14ac:dyDescent="0.2">
      <c r="A13" s="3" t="s">
        <v>25</v>
      </c>
      <c r="B13" s="3">
        <v>0</v>
      </c>
      <c r="C13" s="6">
        <v>0</v>
      </c>
      <c r="D13" s="6">
        <v>0</v>
      </c>
      <c r="E13" s="3">
        <v>0</v>
      </c>
      <c r="F13" s="6">
        <v>0</v>
      </c>
      <c r="G13" s="6">
        <v>0</v>
      </c>
      <c r="H13" s="3">
        <v>0</v>
      </c>
      <c r="I13" s="6">
        <v>0</v>
      </c>
      <c r="J13" s="6">
        <v>0</v>
      </c>
    </row>
    <row r="14" spans="1:10" x14ac:dyDescent="0.2">
      <c r="A14" s="3" t="s">
        <v>26</v>
      </c>
      <c r="B14" s="4">
        <v>433</v>
      </c>
      <c r="C14" s="5">
        <v>0.85219400000000001</v>
      </c>
      <c r="D14" s="5">
        <v>0.92609699999999995</v>
      </c>
      <c r="E14" s="4">
        <v>35</v>
      </c>
      <c r="F14" s="5">
        <v>0.82857139999999996</v>
      </c>
      <c r="G14" s="5">
        <v>0.85714290000000004</v>
      </c>
      <c r="H14" s="4">
        <v>0</v>
      </c>
      <c r="I14" s="5">
        <v>0</v>
      </c>
      <c r="J14" s="5">
        <v>0</v>
      </c>
    </row>
    <row r="15" spans="1:10" x14ac:dyDescent="0.2">
      <c r="A15" s="3" t="s">
        <v>27</v>
      </c>
      <c r="B15" s="3">
        <v>66</v>
      </c>
      <c r="C15" s="6">
        <v>0.96969700000000003</v>
      </c>
      <c r="D15" s="6">
        <v>0.96969700000000003</v>
      </c>
      <c r="E15" s="3">
        <v>3</v>
      </c>
      <c r="F15" s="6">
        <v>1</v>
      </c>
      <c r="G15" s="6">
        <v>1</v>
      </c>
      <c r="H15" s="3">
        <v>0</v>
      </c>
      <c r="I15" s="6">
        <v>0</v>
      </c>
      <c r="J15" s="6">
        <v>0</v>
      </c>
    </row>
    <row r="16" spans="1:10" x14ac:dyDescent="0.2">
      <c r="A16" s="3" t="s">
        <v>28</v>
      </c>
      <c r="B16" s="4">
        <v>444</v>
      </c>
      <c r="C16" s="5">
        <v>0.85360360000000002</v>
      </c>
      <c r="D16" s="5">
        <v>0.93468470000000003</v>
      </c>
      <c r="E16" s="4">
        <v>45</v>
      </c>
      <c r="F16" s="5">
        <v>0.82222220000000001</v>
      </c>
      <c r="G16" s="5">
        <v>0.93333330000000003</v>
      </c>
      <c r="H16" s="4">
        <v>4</v>
      </c>
      <c r="I16" s="5">
        <v>1</v>
      </c>
      <c r="J16" s="5">
        <v>1</v>
      </c>
    </row>
    <row r="17" spans="1:10" x14ac:dyDescent="0.2">
      <c r="A17" s="3" t="s">
        <v>29</v>
      </c>
      <c r="B17" s="3">
        <v>21</v>
      </c>
      <c r="C17" s="6">
        <v>0.66666669999999995</v>
      </c>
      <c r="D17" s="6">
        <v>1</v>
      </c>
      <c r="E17" s="3">
        <v>3</v>
      </c>
      <c r="F17" s="6">
        <v>0.66666669999999995</v>
      </c>
      <c r="G17" s="6">
        <v>1</v>
      </c>
      <c r="H17" s="3">
        <v>0</v>
      </c>
      <c r="I17" s="6">
        <v>0</v>
      </c>
      <c r="J17" s="6">
        <v>0</v>
      </c>
    </row>
    <row r="18" spans="1:10" x14ac:dyDescent="0.2">
      <c r="A18" s="7" t="s">
        <v>87</v>
      </c>
      <c r="B18" s="8">
        <f>SUM(B6:B17)</f>
        <v>2705</v>
      </c>
      <c r="C18" s="9">
        <f>((B6*C6)+(B7*C7)+(B8*C8)+(B9*C9)+(B10*C10)+(B11*C11)+(B12*C12)+(B13*C13)+(B14*C14)+(B15*C15)+(B16*C16)+(B17*C17))/B18</f>
        <v>0.75378928443622928</v>
      </c>
      <c r="D18" s="9">
        <f>((B6*D6)+(B7*D7)+(B8*D8)+(B9*D9)+(B10*D10)+(B11*D11)+(B12*D12)+(B13*D13)+(B14*D14)+(B15*D15)+(B16*D16)+(B17*D17))/B18</f>
        <v>0.88983365996303154</v>
      </c>
      <c r="E18" s="8">
        <f>SUM(E6:E17)</f>
        <v>229</v>
      </c>
      <c r="F18" s="9">
        <f>((E6*F6)+(E7*F7)+(E8*F8)+(E9*F9)+(E10*F10)+(E11*F11)+(E12*F12)+(E13*F13)+(E14*F14)+(E15*F15)+(E16*F16)+(E17*F17))/E18</f>
        <v>0.68122269301310046</v>
      </c>
      <c r="G18" s="9">
        <f>((E6*G6)+(E7*G7)+(E8*G8)+(E9*G9)+(E10*G10)+(E11*G11)+(E12*G12)+(E13*G13)+(E14*G14)+(E15*G15)+(E16*G16)+(E17*G17))/E18</f>
        <v>0.8340611305676856</v>
      </c>
      <c r="H18" s="8">
        <f>SUM(H6:H17)</f>
        <v>7</v>
      </c>
      <c r="I18" s="9">
        <f>((H6*I6)+(H7*I7)+(H8*I8)+(H9*I9)+(H10*I10)+(H11*I11)+(H12*I12)+(H13*I13)+(H14*I14)+(H15*I15)+(H16*I16)+(H17*I17))/H18</f>
        <v>0.7142857142857143</v>
      </c>
      <c r="J18" s="9">
        <f>((H6*J6)+(H7*J7)+(H8*J8)+(H9*J9)+(H10*J10)+(H11*J11)+(H12*J12)+(H13*J13)+(H14*J14)+(H15*J15)+(H16*J16)+(H17*J17))/H18</f>
        <v>0.8571428571428571</v>
      </c>
    </row>
    <row r="20" spans="1:10" x14ac:dyDescent="0.2">
      <c r="B20" s="26" t="s">
        <v>100</v>
      </c>
      <c r="C20" s="26"/>
      <c r="D20" s="26"/>
      <c r="E20" s="26" t="s">
        <v>101</v>
      </c>
      <c r="F20" s="26"/>
      <c r="G20" s="26"/>
      <c r="H20" s="26" t="s">
        <v>102</v>
      </c>
      <c r="I20" s="26"/>
      <c r="J20" s="26"/>
    </row>
    <row r="21" spans="1:10" x14ac:dyDescent="0.2">
      <c r="A21" s="2" t="s">
        <v>31</v>
      </c>
      <c r="B21" s="2" t="s">
        <v>84</v>
      </c>
      <c r="C21" s="2" t="s">
        <v>85</v>
      </c>
      <c r="D21" s="2" t="s">
        <v>86</v>
      </c>
      <c r="E21" s="2" t="s">
        <v>84</v>
      </c>
      <c r="F21" s="2" t="s">
        <v>85</v>
      </c>
      <c r="G21" s="2" t="s">
        <v>86</v>
      </c>
      <c r="H21" s="2" t="s">
        <v>84</v>
      </c>
      <c r="I21" s="2" t="s">
        <v>85</v>
      </c>
      <c r="J21" s="2" t="s">
        <v>86</v>
      </c>
    </row>
    <row r="22" spans="1:10" x14ac:dyDescent="0.2">
      <c r="A22" s="3" t="s">
        <v>57</v>
      </c>
      <c r="B22" s="4">
        <v>828</v>
      </c>
      <c r="C22" s="5">
        <v>0.68357489999999999</v>
      </c>
      <c r="D22" s="5">
        <v>0.83333330000000005</v>
      </c>
      <c r="E22" s="4">
        <v>79</v>
      </c>
      <c r="F22" s="5">
        <v>0.63291140000000001</v>
      </c>
      <c r="G22" s="5">
        <v>0.79746839999999997</v>
      </c>
      <c r="H22" s="4">
        <v>1</v>
      </c>
      <c r="I22" s="5">
        <v>0</v>
      </c>
      <c r="J22" s="5">
        <v>0</v>
      </c>
    </row>
    <row r="23" spans="1:10" x14ac:dyDescent="0.2">
      <c r="A23" s="3" t="s">
        <v>58</v>
      </c>
      <c r="B23" s="3">
        <v>913</v>
      </c>
      <c r="C23" s="6">
        <v>0.70865279999999997</v>
      </c>
      <c r="D23" s="6">
        <v>0.89375680000000002</v>
      </c>
      <c r="E23" s="3">
        <v>64</v>
      </c>
      <c r="F23" s="6">
        <v>0.546875</v>
      </c>
      <c r="G23" s="6">
        <v>0.78125</v>
      </c>
      <c r="H23" s="3">
        <v>2</v>
      </c>
      <c r="I23" s="6">
        <v>0.5</v>
      </c>
      <c r="J23" s="6">
        <v>1</v>
      </c>
    </row>
    <row r="24" spans="1:10" x14ac:dyDescent="0.2">
      <c r="A24" s="3" t="s">
        <v>59</v>
      </c>
      <c r="B24" s="4">
        <v>964</v>
      </c>
      <c r="C24" s="5">
        <v>0.85684649999999996</v>
      </c>
      <c r="D24" s="5">
        <v>0.93464729999999996</v>
      </c>
      <c r="E24" s="4">
        <v>86</v>
      </c>
      <c r="F24" s="5">
        <v>0.82558140000000002</v>
      </c>
      <c r="G24" s="5">
        <v>0.90697669999999997</v>
      </c>
      <c r="H24" s="4">
        <v>4</v>
      </c>
      <c r="I24" s="5">
        <v>1</v>
      </c>
      <c r="J24" s="5">
        <v>1</v>
      </c>
    </row>
    <row r="25" spans="1:10" x14ac:dyDescent="0.2">
      <c r="A25" s="7" t="s">
        <v>87</v>
      </c>
      <c r="B25" s="8">
        <f>SUM(B22:B24)</f>
        <v>2705</v>
      </c>
      <c r="C25" s="9">
        <f>((B22*C22)+(B23*C23)+(B24*C24))/B25</f>
        <v>0.75378929744916823</v>
      </c>
      <c r="D25" s="9">
        <f>((B22*D22)+(B23*D23)+(B24*D24))/B25</f>
        <v>0.88983361478743073</v>
      </c>
      <c r="E25" s="8">
        <f>SUM(E22:E24)</f>
        <v>229</v>
      </c>
      <c r="F25" s="9">
        <f>((E22*F22)+(E23*F23)+(E24*F24))/E25</f>
        <v>0.68122271179039295</v>
      </c>
      <c r="G25" s="9">
        <f>((E22*G22)+(E23*G23)+(E24*G24))/E25</f>
        <v>0.8340611344978166</v>
      </c>
      <c r="H25" s="8">
        <f>SUM(H22:H24)</f>
        <v>7</v>
      </c>
      <c r="I25" s="9">
        <f>((H22*I22)+(H23*I23)+(H24*I24))/H25</f>
        <v>0.7142857142857143</v>
      </c>
      <c r="J25" s="9">
        <f>((H22*J22)+(H23*J23)+(H24*J24))/H25</f>
        <v>0.8571428571428571</v>
      </c>
    </row>
    <row r="28" spans="1:10" ht="21" x14ac:dyDescent="0.35">
      <c r="A28" s="23" t="s">
        <v>35</v>
      </c>
      <c r="B28" s="24"/>
      <c r="C28" s="24"/>
      <c r="D28" s="24"/>
      <c r="E28" s="24"/>
      <c r="F28" s="24"/>
      <c r="G28" s="24"/>
      <c r="H28" s="24"/>
      <c r="I28" s="24"/>
      <c r="J28" s="24"/>
    </row>
    <row r="30" spans="1:10" x14ac:dyDescent="0.2">
      <c r="A30" s="27" t="s">
        <v>36</v>
      </c>
      <c r="B30" s="28"/>
      <c r="C30" s="29" t="s">
        <v>37</v>
      </c>
      <c r="D30" s="29"/>
      <c r="E30" s="29"/>
      <c r="F30" s="29"/>
      <c r="G30" s="29"/>
      <c r="H30" s="29"/>
      <c r="I30" s="29"/>
      <c r="J30" s="29"/>
    </row>
    <row r="31" spans="1:10" x14ac:dyDescent="0.2">
      <c r="A31" s="27" t="s">
        <v>40</v>
      </c>
      <c r="B31" s="28"/>
      <c r="C31" s="29" t="s">
        <v>41</v>
      </c>
      <c r="D31" s="29"/>
      <c r="E31" s="29"/>
      <c r="F31" s="29"/>
      <c r="G31" s="29"/>
      <c r="H31" s="29"/>
      <c r="I31" s="29"/>
      <c r="J31" s="29"/>
    </row>
    <row r="32" spans="1:10" x14ac:dyDescent="0.2">
      <c r="A32" s="27" t="s">
        <v>73</v>
      </c>
      <c r="B32" s="28"/>
      <c r="C32" s="29" t="s">
        <v>88</v>
      </c>
      <c r="D32" s="29"/>
      <c r="E32" s="29"/>
      <c r="F32" s="29"/>
      <c r="G32" s="29"/>
      <c r="H32" s="29"/>
      <c r="I32" s="29"/>
      <c r="J32" s="29"/>
    </row>
    <row r="33" spans="1:10" x14ac:dyDescent="0.2">
      <c r="A33" s="27" t="s">
        <v>75</v>
      </c>
      <c r="B33" s="28"/>
      <c r="C33" s="29" t="s">
        <v>76</v>
      </c>
      <c r="D33" s="29"/>
      <c r="E33" s="29"/>
      <c r="F33" s="29"/>
      <c r="G33" s="29"/>
      <c r="H33" s="29"/>
      <c r="I33" s="29"/>
      <c r="J33" s="29"/>
    </row>
  </sheetData>
  <sheetProtection formatCells="0" formatColumns="0" formatRows="0" insertColumns="0" insertRows="0" insertHyperlinks="0" deleteColumns="0" deleteRows="0" sort="0" autoFilter="0" pivotTables="0"/>
  <mergeCells count="17">
    <mergeCell ref="A31:B31"/>
    <mergeCell ref="C31:J31"/>
    <mergeCell ref="A32:B32"/>
    <mergeCell ref="C32:J32"/>
    <mergeCell ref="A33:B33"/>
    <mergeCell ref="C33:J33"/>
    <mergeCell ref="B20:D20"/>
    <mergeCell ref="E20:G20"/>
    <mergeCell ref="H20:J20"/>
    <mergeCell ref="A28:J28"/>
    <mergeCell ref="A30:B30"/>
    <mergeCell ref="C30:J30"/>
    <mergeCell ref="A1:J1"/>
    <mergeCell ref="A2:J2"/>
    <mergeCell ref="B4:D4"/>
    <mergeCell ref="E4:G4"/>
    <mergeCell ref="H4:J4"/>
  </mergeCells>
  <pageMargins left="0.4" right="0.4" top="0.6" bottom="0.6" header="0.3" footer="0.3"/>
  <pageSetup fitToHeight="0" orientation="landscape"/>
  <headerFooter>
    <oddHeader>&amp;L&amp;B2017-2018 IVC Research Report for CDEV&amp;RPrinted on &amp;D</oddHeader>
    <oddFooter>&amp;L&amp;BGenerated By: Office of Institutional Research&amp;RPage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O4" sqref="O4"/>
    </sheetView>
  </sheetViews>
  <sheetFormatPr defaultRowHeight="12.75" x14ac:dyDescent="0.2"/>
  <cols>
    <col min="1" max="1" width="25" customWidth="1"/>
    <col min="2" max="4" width="20" customWidth="1"/>
    <col min="5" max="5" width="35" customWidth="1"/>
    <col min="6" max="6" width="25" customWidth="1"/>
  </cols>
  <sheetData>
    <row r="1" spans="1:6" ht="21" x14ac:dyDescent="0.35">
      <c r="A1" s="23" t="s">
        <v>103</v>
      </c>
      <c r="B1" s="24"/>
      <c r="C1" s="24"/>
      <c r="D1" s="24"/>
      <c r="E1" s="24"/>
      <c r="F1" s="24"/>
    </row>
    <row r="2" spans="1:6" ht="15.75" x14ac:dyDescent="0.25">
      <c r="A2" s="25" t="s">
        <v>104</v>
      </c>
      <c r="B2" s="24"/>
      <c r="C2" s="24"/>
      <c r="D2" s="24"/>
      <c r="E2" s="24"/>
      <c r="F2" s="24"/>
    </row>
    <row r="4" spans="1:6" x14ac:dyDescent="0.2">
      <c r="A4" s="2" t="s">
        <v>105</v>
      </c>
      <c r="B4" s="2" t="s">
        <v>106</v>
      </c>
      <c r="C4" s="2" t="s">
        <v>107</v>
      </c>
      <c r="D4" s="2" t="s">
        <v>108</v>
      </c>
      <c r="E4" s="2" t="s">
        <v>109</v>
      </c>
      <c r="F4" s="2" t="s">
        <v>110</v>
      </c>
    </row>
    <row r="5" spans="1:6" x14ac:dyDescent="0.2">
      <c r="A5" s="3" t="s">
        <v>111</v>
      </c>
      <c r="B5" s="3" t="s">
        <v>177</v>
      </c>
      <c r="C5" s="3" t="s">
        <v>178</v>
      </c>
      <c r="D5" s="3" t="s">
        <v>179</v>
      </c>
      <c r="E5" s="6" t="s">
        <v>180</v>
      </c>
      <c r="F5" s="3">
        <v>9</v>
      </c>
    </row>
    <row r="6" spans="1:6" x14ac:dyDescent="0.2">
      <c r="A6" s="4" t="s">
        <v>115</v>
      </c>
      <c r="B6" s="4" t="s">
        <v>177</v>
      </c>
      <c r="C6" s="4" t="s">
        <v>178</v>
      </c>
      <c r="D6" s="4" t="s">
        <v>179</v>
      </c>
      <c r="E6" s="5" t="s">
        <v>180</v>
      </c>
      <c r="F6" s="4">
        <v>17</v>
      </c>
    </row>
    <row r="7" spans="1:6" x14ac:dyDescent="0.2">
      <c r="A7" s="3" t="s">
        <v>116</v>
      </c>
      <c r="B7" s="3" t="s">
        <v>177</v>
      </c>
      <c r="C7" s="3" t="s">
        <v>178</v>
      </c>
      <c r="D7" s="3" t="s">
        <v>179</v>
      </c>
      <c r="E7" s="6" t="s">
        <v>180</v>
      </c>
      <c r="F7" s="3">
        <v>8</v>
      </c>
    </row>
    <row r="8" spans="1:6" x14ac:dyDescent="0.2">
      <c r="A8" s="4" t="s">
        <v>57</v>
      </c>
      <c r="B8" s="4" t="s">
        <v>177</v>
      </c>
      <c r="C8" s="4" t="s">
        <v>178</v>
      </c>
      <c r="D8" s="4" t="s">
        <v>179</v>
      </c>
      <c r="E8" s="5" t="s">
        <v>180</v>
      </c>
      <c r="F8" s="4">
        <v>23</v>
      </c>
    </row>
    <row r="9" spans="1:6" x14ac:dyDescent="0.2">
      <c r="A9" s="3" t="s">
        <v>58</v>
      </c>
      <c r="B9" s="3" t="s">
        <v>177</v>
      </c>
      <c r="C9" s="3" t="s">
        <v>178</v>
      </c>
      <c r="D9" s="3" t="s">
        <v>179</v>
      </c>
      <c r="E9" s="6" t="s">
        <v>180</v>
      </c>
      <c r="F9" s="3">
        <v>8</v>
      </c>
    </row>
    <row r="10" spans="1:6" x14ac:dyDescent="0.2">
      <c r="A10" s="4" t="s">
        <v>59</v>
      </c>
      <c r="B10" s="4" t="s">
        <v>177</v>
      </c>
      <c r="C10" s="4" t="s">
        <v>178</v>
      </c>
      <c r="D10" s="4" t="s">
        <v>179</v>
      </c>
      <c r="E10" s="5" t="s">
        <v>180</v>
      </c>
      <c r="F10" s="4">
        <v>23</v>
      </c>
    </row>
    <row r="11" spans="1:6" x14ac:dyDescent="0.2">
      <c r="A11" s="38" t="s">
        <v>111</v>
      </c>
      <c r="B11" s="38" t="s">
        <v>112</v>
      </c>
      <c r="C11" s="38" t="s">
        <v>113</v>
      </c>
      <c r="D11" s="38" t="s">
        <v>114</v>
      </c>
      <c r="E11" s="39" t="s">
        <v>0</v>
      </c>
      <c r="F11" s="38">
        <v>11</v>
      </c>
    </row>
    <row r="12" spans="1:6" x14ac:dyDescent="0.2">
      <c r="A12" s="36" t="s">
        <v>115</v>
      </c>
      <c r="B12" s="36" t="s">
        <v>112</v>
      </c>
      <c r="C12" s="36" t="s">
        <v>113</v>
      </c>
      <c r="D12" s="36" t="s">
        <v>114</v>
      </c>
      <c r="E12" s="37" t="s">
        <v>0</v>
      </c>
      <c r="F12" s="36">
        <v>14</v>
      </c>
    </row>
    <row r="13" spans="1:6" x14ac:dyDescent="0.2">
      <c r="A13" s="38" t="s">
        <v>116</v>
      </c>
      <c r="B13" s="38" t="s">
        <v>112</v>
      </c>
      <c r="C13" s="38" t="s">
        <v>113</v>
      </c>
      <c r="D13" s="38" t="s">
        <v>114</v>
      </c>
      <c r="E13" s="39" t="s">
        <v>0</v>
      </c>
      <c r="F13" s="38">
        <v>18</v>
      </c>
    </row>
    <row r="14" spans="1:6" x14ac:dyDescent="0.2">
      <c r="A14" s="36" t="s">
        <v>57</v>
      </c>
      <c r="B14" s="36" t="s">
        <v>112</v>
      </c>
      <c r="C14" s="36" t="s">
        <v>113</v>
      </c>
      <c r="D14" s="36" t="s">
        <v>114</v>
      </c>
      <c r="E14" s="37" t="s">
        <v>0</v>
      </c>
      <c r="F14" s="36">
        <v>18</v>
      </c>
    </row>
    <row r="15" spans="1:6" x14ac:dyDescent="0.2">
      <c r="A15" s="38" t="s">
        <v>58</v>
      </c>
      <c r="B15" s="38" t="s">
        <v>112</v>
      </c>
      <c r="C15" s="38" t="s">
        <v>113</v>
      </c>
      <c r="D15" s="38" t="s">
        <v>114</v>
      </c>
      <c r="E15" s="39" t="s">
        <v>0</v>
      </c>
      <c r="F15" s="38">
        <v>6</v>
      </c>
    </row>
    <row r="16" spans="1:6" x14ac:dyDescent="0.2">
      <c r="A16" s="36" t="s">
        <v>59</v>
      </c>
      <c r="B16" s="36" t="s">
        <v>112</v>
      </c>
      <c r="C16" s="36" t="s">
        <v>178</v>
      </c>
      <c r="D16" s="36" t="s">
        <v>179</v>
      </c>
      <c r="E16" s="37" t="s">
        <v>0</v>
      </c>
      <c r="F16" s="36">
        <v>1</v>
      </c>
    </row>
    <row r="17" spans="1:6" x14ac:dyDescent="0.2">
      <c r="A17" s="38" t="s">
        <v>59</v>
      </c>
      <c r="B17" s="38" t="s">
        <v>112</v>
      </c>
      <c r="C17" s="38" t="s">
        <v>113</v>
      </c>
      <c r="D17" s="38" t="s">
        <v>114</v>
      </c>
      <c r="E17" s="39" t="s">
        <v>0</v>
      </c>
      <c r="F17" s="38">
        <v>13</v>
      </c>
    </row>
    <row r="18" spans="1:6" x14ac:dyDescent="0.2">
      <c r="A18" s="36" t="s">
        <v>116</v>
      </c>
      <c r="B18" s="36" t="s">
        <v>181</v>
      </c>
      <c r="C18" s="36" t="s">
        <v>178</v>
      </c>
      <c r="D18" s="36" t="s">
        <v>182</v>
      </c>
      <c r="E18" s="37" t="s">
        <v>183</v>
      </c>
      <c r="F18" s="36">
        <v>1</v>
      </c>
    </row>
    <row r="19" spans="1:6" x14ac:dyDescent="0.2">
      <c r="A19" s="38" t="s">
        <v>58</v>
      </c>
      <c r="B19" s="38" t="s">
        <v>181</v>
      </c>
      <c r="C19" s="38" t="s">
        <v>178</v>
      </c>
      <c r="D19" s="38" t="s">
        <v>182</v>
      </c>
      <c r="E19" s="39" t="s">
        <v>183</v>
      </c>
      <c r="F19" s="38">
        <v>1</v>
      </c>
    </row>
    <row r="20" spans="1:6" x14ac:dyDescent="0.2">
      <c r="A20" s="36" t="s">
        <v>59</v>
      </c>
      <c r="B20" s="36" t="s">
        <v>181</v>
      </c>
      <c r="C20" s="36" t="s">
        <v>178</v>
      </c>
      <c r="D20" s="36" t="s">
        <v>182</v>
      </c>
      <c r="E20" s="37" t="s">
        <v>183</v>
      </c>
      <c r="F20" s="36">
        <v>3</v>
      </c>
    </row>
    <row r="21" spans="1:6" x14ac:dyDescent="0.2">
      <c r="A21" s="38" t="s">
        <v>116</v>
      </c>
      <c r="B21" s="38" t="s">
        <v>184</v>
      </c>
      <c r="C21" s="38" t="s">
        <v>178</v>
      </c>
      <c r="D21" s="38" t="s">
        <v>185</v>
      </c>
      <c r="E21" s="39" t="s">
        <v>186</v>
      </c>
      <c r="F21" s="38">
        <v>2</v>
      </c>
    </row>
    <row r="22" spans="1:6" x14ac:dyDescent="0.2">
      <c r="A22" s="36" t="s">
        <v>57</v>
      </c>
      <c r="B22" s="36" t="s">
        <v>184</v>
      </c>
      <c r="C22" s="36" t="s">
        <v>178</v>
      </c>
      <c r="D22" s="36" t="s">
        <v>185</v>
      </c>
      <c r="E22" s="37" t="s">
        <v>186</v>
      </c>
      <c r="F22" s="36">
        <v>1</v>
      </c>
    </row>
    <row r="23" spans="1:6" x14ac:dyDescent="0.2">
      <c r="A23" s="38" t="s">
        <v>59</v>
      </c>
      <c r="B23" s="38" t="s">
        <v>187</v>
      </c>
      <c r="C23" s="38" t="s">
        <v>178</v>
      </c>
      <c r="D23" s="38" t="s">
        <v>188</v>
      </c>
      <c r="E23" s="39" t="s">
        <v>189</v>
      </c>
      <c r="F23" s="38">
        <v>6</v>
      </c>
    </row>
    <row r="24" spans="1:6" x14ac:dyDescent="0.2">
      <c r="A24" s="36" t="s">
        <v>58</v>
      </c>
      <c r="B24" s="36" t="s">
        <v>190</v>
      </c>
      <c r="C24" s="36" t="s">
        <v>178</v>
      </c>
      <c r="D24" s="36" t="s">
        <v>191</v>
      </c>
      <c r="E24" s="37" t="s">
        <v>192</v>
      </c>
      <c r="F24" s="36">
        <v>1</v>
      </c>
    </row>
    <row r="25" spans="1:6" x14ac:dyDescent="0.2">
      <c r="A25" s="38" t="s">
        <v>111</v>
      </c>
      <c r="B25" s="38" t="s">
        <v>193</v>
      </c>
      <c r="C25" s="38" t="s">
        <v>113</v>
      </c>
      <c r="D25" s="38" t="s">
        <v>194</v>
      </c>
      <c r="E25" s="39" t="s">
        <v>195</v>
      </c>
      <c r="F25" s="38">
        <v>5</v>
      </c>
    </row>
    <row r="26" spans="1:6" x14ac:dyDescent="0.2">
      <c r="A26" s="36" t="s">
        <v>115</v>
      </c>
      <c r="B26" s="36" t="s">
        <v>193</v>
      </c>
      <c r="C26" s="36" t="s">
        <v>113</v>
      </c>
      <c r="D26" s="36" t="s">
        <v>194</v>
      </c>
      <c r="E26" s="37" t="s">
        <v>195</v>
      </c>
      <c r="F26" s="36">
        <v>1</v>
      </c>
    </row>
    <row r="27" spans="1:6" x14ac:dyDescent="0.2">
      <c r="A27" s="38" t="s">
        <v>116</v>
      </c>
      <c r="B27" s="38" t="s">
        <v>193</v>
      </c>
      <c r="C27" s="38" t="s">
        <v>113</v>
      </c>
      <c r="D27" s="38" t="s">
        <v>194</v>
      </c>
      <c r="E27" s="39" t="s">
        <v>195</v>
      </c>
      <c r="F27" s="38">
        <v>1</v>
      </c>
    </row>
    <row r="28" spans="1:6" x14ac:dyDescent="0.2">
      <c r="A28" s="36" t="s">
        <v>58</v>
      </c>
      <c r="B28" s="36" t="s">
        <v>193</v>
      </c>
      <c r="C28" s="36" t="s">
        <v>113</v>
      </c>
      <c r="D28" s="36" t="s">
        <v>194</v>
      </c>
      <c r="E28" s="37" t="s">
        <v>195</v>
      </c>
      <c r="F28" s="36">
        <v>1</v>
      </c>
    </row>
    <row r="29" spans="1:6" x14ac:dyDescent="0.2">
      <c r="A29" s="38" t="s">
        <v>115</v>
      </c>
      <c r="B29" s="38" t="s">
        <v>196</v>
      </c>
      <c r="C29" s="38" t="s">
        <v>197</v>
      </c>
      <c r="D29" s="38" t="s">
        <v>198</v>
      </c>
      <c r="E29" s="39" t="s">
        <v>199</v>
      </c>
      <c r="F29" s="38">
        <v>4</v>
      </c>
    </row>
    <row r="30" spans="1:6" x14ac:dyDescent="0.2">
      <c r="A30" s="36" t="s">
        <v>115</v>
      </c>
      <c r="B30" s="36" t="s">
        <v>196</v>
      </c>
      <c r="C30" s="36" t="s">
        <v>200</v>
      </c>
      <c r="D30" s="36" t="s">
        <v>201</v>
      </c>
      <c r="E30" s="37" t="s">
        <v>199</v>
      </c>
      <c r="F30" s="36">
        <v>1</v>
      </c>
    </row>
    <row r="31" spans="1:6" x14ac:dyDescent="0.2">
      <c r="A31" s="38" t="s">
        <v>116</v>
      </c>
      <c r="B31" s="38" t="s">
        <v>196</v>
      </c>
      <c r="C31" s="38" t="s">
        <v>197</v>
      </c>
      <c r="D31" s="38" t="s">
        <v>198</v>
      </c>
      <c r="E31" s="39" t="s">
        <v>199</v>
      </c>
      <c r="F31" s="38">
        <v>4</v>
      </c>
    </row>
    <row r="32" spans="1:6" x14ac:dyDescent="0.2">
      <c r="A32" s="36" t="s">
        <v>57</v>
      </c>
      <c r="B32" s="36" t="s">
        <v>196</v>
      </c>
      <c r="C32" s="36" t="s">
        <v>197</v>
      </c>
      <c r="D32" s="36" t="s">
        <v>198</v>
      </c>
      <c r="E32" s="37" t="s">
        <v>199</v>
      </c>
      <c r="F32" s="36">
        <v>4</v>
      </c>
    </row>
    <row r="33" spans="1:6" x14ac:dyDescent="0.2">
      <c r="A33" s="38" t="s">
        <v>58</v>
      </c>
      <c r="B33" s="38" t="s">
        <v>196</v>
      </c>
      <c r="C33" s="38" t="s">
        <v>197</v>
      </c>
      <c r="D33" s="38" t="s">
        <v>198</v>
      </c>
      <c r="E33" s="39" t="s">
        <v>199</v>
      </c>
      <c r="F33" s="38">
        <v>4</v>
      </c>
    </row>
    <row r="34" spans="1:6" x14ac:dyDescent="0.2">
      <c r="A34" s="36" t="s">
        <v>59</v>
      </c>
      <c r="B34" s="36" t="s">
        <v>196</v>
      </c>
      <c r="C34" s="36" t="s">
        <v>197</v>
      </c>
      <c r="D34" s="36" t="s">
        <v>198</v>
      </c>
      <c r="E34" s="37" t="s">
        <v>199</v>
      </c>
      <c r="F34" s="36">
        <v>2</v>
      </c>
    </row>
    <row r="35" spans="1:6" x14ac:dyDescent="0.2">
      <c r="A35" s="12"/>
      <c r="B35" s="12"/>
      <c r="C35" s="12"/>
      <c r="D35" s="12"/>
      <c r="E35" s="13" t="s">
        <v>87</v>
      </c>
      <c r="F35" s="8">
        <f>SUM(F5:F34)</f>
        <v>211</v>
      </c>
    </row>
    <row r="38" spans="1:6" ht="21" x14ac:dyDescent="0.35">
      <c r="A38" s="23" t="s">
        <v>35</v>
      </c>
      <c r="B38" s="24"/>
      <c r="C38" s="24"/>
      <c r="D38" s="24"/>
      <c r="E38" s="24"/>
      <c r="F38" s="24"/>
    </row>
    <row r="40" spans="1:6" ht="30" customHeight="1" x14ac:dyDescent="0.2">
      <c r="A40" s="33" t="s">
        <v>36</v>
      </c>
      <c r="B40" s="28"/>
      <c r="C40" s="34" t="s">
        <v>37</v>
      </c>
      <c r="D40" s="29"/>
      <c r="E40" s="29"/>
      <c r="F40" s="29"/>
    </row>
    <row r="41" spans="1:6" x14ac:dyDescent="0.2">
      <c r="A41" s="33" t="s">
        <v>117</v>
      </c>
      <c r="B41" s="28"/>
      <c r="C41" s="29" t="s">
        <v>118</v>
      </c>
      <c r="D41" s="29"/>
      <c r="E41" s="29"/>
      <c r="F41" s="29"/>
    </row>
    <row r="42" spans="1:6" ht="30" customHeight="1" x14ac:dyDescent="0.2">
      <c r="A42" s="33" t="s">
        <v>119</v>
      </c>
      <c r="B42" s="28"/>
      <c r="C42" s="34" t="s">
        <v>120</v>
      </c>
      <c r="D42" s="29"/>
      <c r="E42" s="29"/>
      <c r="F42" s="29"/>
    </row>
  </sheetData>
  <sheetProtection formatCells="0" formatColumns="0" formatRows="0" insertColumns="0" insertRows="0" insertHyperlinks="0" deleteColumns="0" deleteRows="0" sort="0" autoFilter="0" pivotTables="0"/>
  <mergeCells count="9">
    <mergeCell ref="A41:B41"/>
    <mergeCell ref="C41:F41"/>
    <mergeCell ref="A42:B42"/>
    <mergeCell ref="C42:F42"/>
    <mergeCell ref="A1:F1"/>
    <mergeCell ref="A2:F2"/>
    <mergeCell ref="A38:F38"/>
    <mergeCell ref="A40:B40"/>
    <mergeCell ref="C40:F40"/>
  </mergeCells>
  <pageMargins left="0.4" right="0.4" top="0.6" bottom="0.6" header="0.3" footer="0.3"/>
  <pageSetup orientation="landscape"/>
  <headerFooter>
    <oddHeader>&amp;L&amp;B2017-2018 IVC Research Report for CDEV&amp;RPrinted on &amp;D</oddHeader>
    <oddFooter>&amp;L&amp;BGenerated By: Office of Institutional Research&amp;RPage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3"/>
  <sheetViews>
    <sheetView workbookViewId="0">
      <selection activeCell="S67" sqref="S67"/>
    </sheetView>
  </sheetViews>
  <sheetFormatPr defaultRowHeight="12.75" x14ac:dyDescent="0.2"/>
  <cols>
    <col min="1" max="1" width="15" customWidth="1"/>
    <col min="2" max="2" width="14" hidden="1" customWidth="1"/>
    <col min="3" max="3" width="12" customWidth="1"/>
    <col min="4" max="4" width="8" customWidth="1"/>
    <col min="5" max="10" width="10" customWidth="1"/>
    <col min="11" max="11" width="10" hidden="1" customWidth="1"/>
    <col min="12" max="12" width="10" customWidth="1"/>
    <col min="13" max="13" width="10" hidden="1" customWidth="1"/>
    <col min="14" max="14" width="11" customWidth="1"/>
    <col min="15" max="17" width="8" customWidth="1"/>
    <col min="18" max="18" width="15" customWidth="1"/>
    <col min="19" max="19" width="10" customWidth="1"/>
    <col min="20" max="20" width="15" customWidth="1"/>
  </cols>
  <sheetData>
    <row r="1" spans="1:20" ht="21" x14ac:dyDescent="0.35">
      <c r="A1" s="23" t="s">
        <v>121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ht="15.75" x14ac:dyDescent="0.25">
      <c r="A2" s="25" t="s">
        <v>122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ht="15.75" x14ac:dyDescent="0.25">
      <c r="A3" s="25" t="s">
        <v>123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5" spans="1:20" x14ac:dyDescent="0.2">
      <c r="A5" s="14" t="s">
        <v>105</v>
      </c>
      <c r="B5" s="10" t="s">
        <v>124</v>
      </c>
      <c r="C5" s="14" t="s">
        <v>125</v>
      </c>
      <c r="D5" s="10" t="s">
        <v>126</v>
      </c>
      <c r="E5" s="10" t="s">
        <v>127</v>
      </c>
      <c r="F5" s="10" t="s">
        <v>128</v>
      </c>
      <c r="G5" s="14" t="s">
        <v>129</v>
      </c>
      <c r="H5" s="14" t="s">
        <v>130</v>
      </c>
      <c r="I5" s="14" t="s">
        <v>131</v>
      </c>
      <c r="J5" s="14" t="s">
        <v>132</v>
      </c>
      <c r="K5" s="14" t="s">
        <v>133</v>
      </c>
      <c r="L5" s="14" t="s">
        <v>134</v>
      </c>
      <c r="M5" s="14" t="s">
        <v>135</v>
      </c>
      <c r="N5" s="14" t="s">
        <v>136</v>
      </c>
      <c r="O5" s="14" t="s">
        <v>137</v>
      </c>
      <c r="P5" s="14" t="s">
        <v>54</v>
      </c>
      <c r="Q5" s="14" t="s">
        <v>55</v>
      </c>
      <c r="R5" s="14" t="s">
        <v>138</v>
      </c>
      <c r="S5" s="14" t="s">
        <v>139</v>
      </c>
      <c r="T5" s="14" t="s">
        <v>140</v>
      </c>
    </row>
    <row r="6" spans="1:20" x14ac:dyDescent="0.2">
      <c r="A6" s="15" t="s">
        <v>57</v>
      </c>
      <c r="B6" s="15" t="s">
        <v>18</v>
      </c>
      <c r="C6" s="15">
        <v>201510</v>
      </c>
      <c r="D6" s="15" t="s">
        <v>112</v>
      </c>
      <c r="E6" s="15" t="s">
        <v>141</v>
      </c>
      <c r="F6" s="15" t="s">
        <v>142</v>
      </c>
      <c r="G6" s="15">
        <v>1</v>
      </c>
      <c r="H6" s="15">
        <v>16</v>
      </c>
      <c r="I6" s="15">
        <v>23</v>
      </c>
      <c r="J6" s="15">
        <v>36</v>
      </c>
      <c r="K6" s="15">
        <v>16</v>
      </c>
      <c r="L6" s="16">
        <v>0.44444</v>
      </c>
      <c r="M6" s="15">
        <v>23</v>
      </c>
      <c r="N6" s="16">
        <v>0.63888999999999996</v>
      </c>
      <c r="O6" s="15">
        <v>3.375</v>
      </c>
      <c r="P6" s="15">
        <v>121.5</v>
      </c>
      <c r="Q6" s="15">
        <v>0.2</v>
      </c>
      <c r="R6" s="15">
        <v>607.5</v>
      </c>
      <c r="S6" s="15">
        <v>3.47</v>
      </c>
      <c r="T6" s="15">
        <v>35.01</v>
      </c>
    </row>
    <row r="7" spans="1:20" x14ac:dyDescent="0.2">
      <c r="A7" s="11" t="s">
        <v>57</v>
      </c>
      <c r="B7" s="11" t="s">
        <v>18</v>
      </c>
      <c r="C7" s="11">
        <v>201510</v>
      </c>
      <c r="D7" s="11" t="s">
        <v>112</v>
      </c>
      <c r="E7" s="11" t="s">
        <v>141</v>
      </c>
      <c r="F7" s="11" t="s">
        <v>143</v>
      </c>
      <c r="G7" s="11">
        <v>1</v>
      </c>
      <c r="H7" s="11">
        <v>15</v>
      </c>
      <c r="I7" s="11">
        <v>18</v>
      </c>
      <c r="J7" s="11">
        <v>26</v>
      </c>
      <c r="K7" s="11">
        <v>15</v>
      </c>
      <c r="L7" s="17">
        <v>0.57691999999999999</v>
      </c>
      <c r="M7" s="11">
        <v>18</v>
      </c>
      <c r="N7" s="17">
        <v>0.69230999999999998</v>
      </c>
      <c r="O7" s="11">
        <v>3.375</v>
      </c>
      <c r="P7" s="11">
        <v>87.75</v>
      </c>
      <c r="Q7" s="11">
        <v>0.2</v>
      </c>
      <c r="R7" s="11">
        <v>438.75</v>
      </c>
      <c r="S7" s="11">
        <v>2.5</v>
      </c>
      <c r="T7" s="11">
        <v>35.1</v>
      </c>
    </row>
    <row r="8" spans="1:20" x14ac:dyDescent="0.2">
      <c r="A8" s="15" t="s">
        <v>57</v>
      </c>
      <c r="B8" s="15" t="s">
        <v>20</v>
      </c>
      <c r="C8" s="15">
        <v>201520</v>
      </c>
      <c r="D8" s="15" t="s">
        <v>112</v>
      </c>
      <c r="E8" s="15" t="s">
        <v>141</v>
      </c>
      <c r="F8" s="15" t="s">
        <v>143</v>
      </c>
      <c r="G8" s="15">
        <v>1</v>
      </c>
      <c r="H8" s="15">
        <v>16</v>
      </c>
      <c r="I8" s="15">
        <v>19</v>
      </c>
      <c r="J8" s="15">
        <v>24</v>
      </c>
      <c r="K8" s="15">
        <v>16</v>
      </c>
      <c r="L8" s="16">
        <v>0.66666999999999998</v>
      </c>
      <c r="M8" s="15">
        <v>19</v>
      </c>
      <c r="N8" s="16">
        <v>0.79166999999999998</v>
      </c>
      <c r="O8" s="15">
        <v>3.375</v>
      </c>
      <c r="P8" s="15">
        <v>81</v>
      </c>
      <c r="Q8" s="15">
        <v>0.2</v>
      </c>
      <c r="R8" s="15">
        <v>405</v>
      </c>
      <c r="S8" s="15">
        <v>2.31</v>
      </c>
      <c r="T8" s="15">
        <v>35.06</v>
      </c>
    </row>
    <row r="9" spans="1:20" x14ac:dyDescent="0.2">
      <c r="A9" s="11" t="s">
        <v>57</v>
      </c>
      <c r="B9" s="11" t="s">
        <v>20</v>
      </c>
      <c r="C9" s="11">
        <v>201520</v>
      </c>
      <c r="D9" s="11" t="s">
        <v>112</v>
      </c>
      <c r="E9" s="11" t="s">
        <v>141</v>
      </c>
      <c r="F9" s="11" t="s">
        <v>142</v>
      </c>
      <c r="G9" s="11">
        <v>1</v>
      </c>
      <c r="H9" s="11">
        <v>16</v>
      </c>
      <c r="I9" s="11">
        <v>25</v>
      </c>
      <c r="J9" s="11">
        <v>31</v>
      </c>
      <c r="K9" s="11">
        <v>16</v>
      </c>
      <c r="L9" s="17">
        <v>0.51612999999999998</v>
      </c>
      <c r="M9" s="11">
        <v>25</v>
      </c>
      <c r="N9" s="17">
        <v>0.80645</v>
      </c>
      <c r="O9" s="11">
        <v>3.375</v>
      </c>
      <c r="P9" s="11">
        <v>104.625</v>
      </c>
      <c r="Q9" s="11">
        <v>0.2</v>
      </c>
      <c r="R9" s="11">
        <v>523.13</v>
      </c>
      <c r="S9" s="11">
        <v>2.98</v>
      </c>
      <c r="T9" s="11">
        <v>35.11</v>
      </c>
    </row>
    <row r="10" spans="1:20" x14ac:dyDescent="0.2">
      <c r="A10" s="15" t="s">
        <v>58</v>
      </c>
      <c r="B10" s="15" t="s">
        <v>22</v>
      </c>
      <c r="C10" s="15">
        <v>201610</v>
      </c>
      <c r="D10" s="15" t="s">
        <v>112</v>
      </c>
      <c r="E10" s="15" t="s">
        <v>141</v>
      </c>
      <c r="F10" s="15" t="s">
        <v>142</v>
      </c>
      <c r="G10" s="15">
        <v>1</v>
      </c>
      <c r="H10" s="15">
        <v>18</v>
      </c>
      <c r="I10" s="15">
        <v>26</v>
      </c>
      <c r="J10" s="15">
        <v>35</v>
      </c>
      <c r="K10" s="15">
        <v>18</v>
      </c>
      <c r="L10" s="16">
        <v>0.51429000000000002</v>
      </c>
      <c r="M10" s="15">
        <v>26</v>
      </c>
      <c r="N10" s="16">
        <v>0.74285999999999996</v>
      </c>
      <c r="O10" s="15">
        <v>3.375</v>
      </c>
      <c r="P10" s="15">
        <v>118.125</v>
      </c>
      <c r="Q10" s="15">
        <v>0.2</v>
      </c>
      <c r="R10" s="15">
        <v>590.63</v>
      </c>
      <c r="S10" s="15">
        <v>3.37</v>
      </c>
      <c r="T10" s="15">
        <v>35.049999999999997</v>
      </c>
    </row>
    <row r="11" spans="1:20" x14ac:dyDescent="0.2">
      <c r="A11" s="11" t="s">
        <v>58</v>
      </c>
      <c r="B11" s="11" t="s">
        <v>22</v>
      </c>
      <c r="C11" s="11">
        <v>201610</v>
      </c>
      <c r="D11" s="11" t="s">
        <v>112</v>
      </c>
      <c r="E11" s="11" t="s">
        <v>141</v>
      </c>
      <c r="F11" s="11" t="s">
        <v>143</v>
      </c>
      <c r="G11" s="11">
        <v>1</v>
      </c>
      <c r="H11" s="11">
        <v>11</v>
      </c>
      <c r="I11" s="11">
        <v>15</v>
      </c>
      <c r="J11" s="11">
        <v>21</v>
      </c>
      <c r="K11" s="11">
        <v>11</v>
      </c>
      <c r="L11" s="17">
        <v>0.52381</v>
      </c>
      <c r="M11" s="11">
        <v>15</v>
      </c>
      <c r="N11" s="17">
        <v>0.71428999999999998</v>
      </c>
      <c r="O11" s="11">
        <v>3.375</v>
      </c>
      <c r="P11" s="11">
        <v>70.875</v>
      </c>
      <c r="Q11" s="11">
        <v>0.2</v>
      </c>
      <c r="R11" s="11">
        <v>354.38</v>
      </c>
      <c r="S11" s="11">
        <v>2.02</v>
      </c>
      <c r="T11" s="11">
        <v>35.090000000000003</v>
      </c>
    </row>
    <row r="12" spans="1:20" x14ac:dyDescent="0.2">
      <c r="A12" s="15" t="s">
        <v>58</v>
      </c>
      <c r="B12" s="15" t="s">
        <v>24</v>
      </c>
      <c r="C12" s="15">
        <v>201620</v>
      </c>
      <c r="D12" s="15" t="s">
        <v>112</v>
      </c>
      <c r="E12" s="15" t="s">
        <v>141</v>
      </c>
      <c r="F12" s="15" t="s">
        <v>142</v>
      </c>
      <c r="G12" s="15">
        <v>2</v>
      </c>
      <c r="H12" s="15">
        <v>27</v>
      </c>
      <c r="I12" s="15">
        <v>47</v>
      </c>
      <c r="J12" s="15">
        <v>60</v>
      </c>
      <c r="K12" s="15">
        <v>27</v>
      </c>
      <c r="L12" s="16">
        <v>0.45</v>
      </c>
      <c r="M12" s="15">
        <v>47</v>
      </c>
      <c r="N12" s="16">
        <v>0.78332999999999997</v>
      </c>
      <c r="O12" s="15">
        <v>3.375</v>
      </c>
      <c r="P12" s="15">
        <v>202.5</v>
      </c>
      <c r="Q12" s="15">
        <v>0.4</v>
      </c>
      <c r="R12" s="15">
        <v>506.25</v>
      </c>
      <c r="S12" s="15">
        <v>5.78</v>
      </c>
      <c r="T12" s="15">
        <v>35.03</v>
      </c>
    </row>
    <row r="13" spans="1:20" x14ac:dyDescent="0.2">
      <c r="A13" s="11" t="s">
        <v>59</v>
      </c>
      <c r="B13" s="11" t="s">
        <v>26</v>
      </c>
      <c r="C13" s="11">
        <v>201710</v>
      </c>
      <c r="D13" s="11" t="s">
        <v>112</v>
      </c>
      <c r="E13" s="11" t="s">
        <v>141</v>
      </c>
      <c r="F13" s="11" t="s">
        <v>142</v>
      </c>
      <c r="G13" s="11">
        <v>1</v>
      </c>
      <c r="H13" s="11">
        <v>37</v>
      </c>
      <c r="I13" s="11">
        <v>39</v>
      </c>
      <c r="J13" s="11">
        <v>39</v>
      </c>
      <c r="K13" s="11">
        <v>37</v>
      </c>
      <c r="L13" s="17">
        <v>0.94872000000000001</v>
      </c>
      <c r="M13" s="11">
        <v>39</v>
      </c>
      <c r="N13" s="17">
        <v>1</v>
      </c>
      <c r="O13" s="11">
        <v>3.375</v>
      </c>
      <c r="P13" s="11">
        <v>131.625</v>
      </c>
      <c r="Q13" s="11">
        <v>0.2</v>
      </c>
      <c r="R13" s="11">
        <v>658.13</v>
      </c>
      <c r="S13" s="11">
        <v>3.76</v>
      </c>
      <c r="T13" s="11">
        <v>35.01</v>
      </c>
    </row>
    <row r="14" spans="1:20" x14ac:dyDescent="0.2">
      <c r="A14" s="15" t="s">
        <v>59</v>
      </c>
      <c r="B14" s="15" t="s">
        <v>28</v>
      </c>
      <c r="C14" s="15">
        <v>201720</v>
      </c>
      <c r="D14" s="15" t="s">
        <v>112</v>
      </c>
      <c r="E14" s="15" t="s">
        <v>141</v>
      </c>
      <c r="F14" s="15" t="s">
        <v>142</v>
      </c>
      <c r="G14" s="15">
        <v>1</v>
      </c>
      <c r="H14" s="15">
        <v>39</v>
      </c>
      <c r="I14" s="15">
        <v>40</v>
      </c>
      <c r="J14" s="15">
        <v>41</v>
      </c>
      <c r="K14" s="15">
        <v>39</v>
      </c>
      <c r="L14" s="16">
        <v>0.95121999999999995</v>
      </c>
      <c r="M14" s="15">
        <v>40</v>
      </c>
      <c r="N14" s="16">
        <v>0.97560999999999998</v>
      </c>
      <c r="O14" s="15">
        <v>3.375</v>
      </c>
      <c r="P14" s="15">
        <v>138.375</v>
      </c>
      <c r="Q14" s="15">
        <v>0.2</v>
      </c>
      <c r="R14" s="15">
        <v>691.88</v>
      </c>
      <c r="S14" s="15">
        <v>3.95</v>
      </c>
      <c r="T14" s="15">
        <v>35.03</v>
      </c>
    </row>
    <row r="15" spans="1:20" x14ac:dyDescent="0.2">
      <c r="A15" s="11" t="s">
        <v>59</v>
      </c>
      <c r="B15" s="11" t="s">
        <v>28</v>
      </c>
      <c r="C15" s="11">
        <v>201720</v>
      </c>
      <c r="D15" s="11" t="s">
        <v>112</v>
      </c>
      <c r="E15" s="11" t="s">
        <v>141</v>
      </c>
      <c r="F15" s="11" t="s">
        <v>143</v>
      </c>
      <c r="G15" s="11">
        <v>1</v>
      </c>
      <c r="H15" s="11">
        <v>28</v>
      </c>
      <c r="I15" s="11">
        <v>31</v>
      </c>
      <c r="J15" s="11">
        <v>35</v>
      </c>
      <c r="K15" s="11">
        <v>28</v>
      </c>
      <c r="L15" s="17">
        <v>0.8</v>
      </c>
      <c r="M15" s="11">
        <v>31</v>
      </c>
      <c r="N15" s="17">
        <v>0.88571</v>
      </c>
      <c r="O15" s="11">
        <v>3.375</v>
      </c>
      <c r="P15" s="11">
        <v>118.125</v>
      </c>
      <c r="Q15" s="11">
        <v>0.2</v>
      </c>
      <c r="R15" s="11">
        <v>590.63</v>
      </c>
      <c r="S15" s="11">
        <v>3.37</v>
      </c>
      <c r="T15" s="11">
        <v>35.049999999999997</v>
      </c>
    </row>
    <row r="16" spans="1:20" x14ac:dyDescent="0.2">
      <c r="A16" s="15" t="s">
        <v>57</v>
      </c>
      <c r="B16" s="15" t="s">
        <v>18</v>
      </c>
      <c r="C16" s="15">
        <v>201510</v>
      </c>
      <c r="D16" s="15" t="s">
        <v>112</v>
      </c>
      <c r="E16" s="15" t="s">
        <v>144</v>
      </c>
      <c r="F16" s="15" t="s">
        <v>143</v>
      </c>
      <c r="G16" s="15">
        <v>1</v>
      </c>
      <c r="H16" s="15">
        <v>24</v>
      </c>
      <c r="I16" s="15">
        <v>27</v>
      </c>
      <c r="J16" s="15">
        <v>33</v>
      </c>
      <c r="K16" s="15">
        <v>24</v>
      </c>
      <c r="L16" s="16">
        <v>0.72726999999999997</v>
      </c>
      <c r="M16" s="15">
        <v>27</v>
      </c>
      <c r="N16" s="16">
        <v>0.81818000000000002</v>
      </c>
      <c r="O16" s="15">
        <v>3.375</v>
      </c>
      <c r="P16" s="15">
        <v>111.375</v>
      </c>
      <c r="Q16" s="15">
        <v>0.2</v>
      </c>
      <c r="R16" s="15">
        <v>556.88</v>
      </c>
      <c r="S16" s="15">
        <v>3.18</v>
      </c>
      <c r="T16" s="15">
        <v>35.020000000000003</v>
      </c>
    </row>
    <row r="17" spans="1:20" x14ac:dyDescent="0.2">
      <c r="A17" s="11" t="s">
        <v>57</v>
      </c>
      <c r="B17" s="11" t="s">
        <v>18</v>
      </c>
      <c r="C17" s="11">
        <v>201510</v>
      </c>
      <c r="D17" s="11" t="s">
        <v>112</v>
      </c>
      <c r="E17" s="11" t="s">
        <v>144</v>
      </c>
      <c r="F17" s="11" t="s">
        <v>142</v>
      </c>
      <c r="G17" s="11">
        <v>1</v>
      </c>
      <c r="H17" s="11">
        <v>31</v>
      </c>
      <c r="I17" s="11">
        <v>34</v>
      </c>
      <c r="J17" s="11">
        <v>35</v>
      </c>
      <c r="K17" s="11">
        <v>31</v>
      </c>
      <c r="L17" s="17">
        <v>0.88571</v>
      </c>
      <c r="M17" s="11">
        <v>34</v>
      </c>
      <c r="N17" s="17">
        <v>0.97143000000000002</v>
      </c>
      <c r="O17" s="11">
        <v>3.375</v>
      </c>
      <c r="P17" s="11">
        <v>118.125</v>
      </c>
      <c r="Q17" s="11">
        <v>0.2</v>
      </c>
      <c r="R17" s="11">
        <v>590.63</v>
      </c>
      <c r="S17" s="11">
        <v>3.37</v>
      </c>
      <c r="T17" s="11">
        <v>35.049999999999997</v>
      </c>
    </row>
    <row r="18" spans="1:20" x14ac:dyDescent="0.2">
      <c r="A18" s="15" t="s">
        <v>57</v>
      </c>
      <c r="B18" s="15" t="s">
        <v>20</v>
      </c>
      <c r="C18" s="15">
        <v>201520</v>
      </c>
      <c r="D18" s="15" t="s">
        <v>112</v>
      </c>
      <c r="E18" s="15" t="s">
        <v>144</v>
      </c>
      <c r="F18" s="15" t="s">
        <v>143</v>
      </c>
      <c r="G18" s="15">
        <v>1</v>
      </c>
      <c r="H18" s="15">
        <v>18</v>
      </c>
      <c r="I18" s="15">
        <v>21</v>
      </c>
      <c r="J18" s="15">
        <v>27</v>
      </c>
      <c r="K18" s="15">
        <v>18</v>
      </c>
      <c r="L18" s="16">
        <v>0.66666999999999998</v>
      </c>
      <c r="M18" s="15">
        <v>21</v>
      </c>
      <c r="N18" s="16">
        <v>0.77778000000000003</v>
      </c>
      <c r="O18" s="15">
        <v>3.375</v>
      </c>
      <c r="P18" s="15">
        <v>91.125</v>
      </c>
      <c r="Q18" s="15">
        <v>0.2</v>
      </c>
      <c r="R18" s="15">
        <v>455.63</v>
      </c>
      <c r="S18" s="15">
        <v>2.6</v>
      </c>
      <c r="T18" s="15">
        <v>35.049999999999997</v>
      </c>
    </row>
    <row r="19" spans="1:20" x14ac:dyDescent="0.2">
      <c r="A19" s="11" t="s">
        <v>57</v>
      </c>
      <c r="B19" s="11" t="s">
        <v>20</v>
      </c>
      <c r="C19" s="11">
        <v>201520</v>
      </c>
      <c r="D19" s="11" t="s">
        <v>112</v>
      </c>
      <c r="E19" s="11" t="s">
        <v>144</v>
      </c>
      <c r="F19" s="11" t="s">
        <v>142</v>
      </c>
      <c r="G19" s="11">
        <v>1</v>
      </c>
      <c r="H19" s="11">
        <v>29</v>
      </c>
      <c r="I19" s="11">
        <v>34</v>
      </c>
      <c r="J19" s="11">
        <v>37</v>
      </c>
      <c r="K19" s="11">
        <v>29</v>
      </c>
      <c r="L19" s="17">
        <v>0.78378000000000003</v>
      </c>
      <c r="M19" s="11">
        <v>34</v>
      </c>
      <c r="N19" s="17">
        <v>0.91891999999999996</v>
      </c>
      <c r="O19" s="11">
        <v>3.375</v>
      </c>
      <c r="P19" s="11">
        <v>124.875</v>
      </c>
      <c r="Q19" s="11">
        <v>0.2</v>
      </c>
      <c r="R19" s="11">
        <v>624.38</v>
      </c>
      <c r="S19" s="11">
        <v>3.56</v>
      </c>
      <c r="T19" s="11">
        <v>35.08</v>
      </c>
    </row>
    <row r="20" spans="1:20" x14ac:dyDescent="0.2">
      <c r="A20" s="15" t="s">
        <v>58</v>
      </c>
      <c r="B20" s="15" t="s">
        <v>22</v>
      </c>
      <c r="C20" s="15">
        <v>201610</v>
      </c>
      <c r="D20" s="15" t="s">
        <v>112</v>
      </c>
      <c r="E20" s="15" t="s">
        <v>144</v>
      </c>
      <c r="F20" s="15" t="s">
        <v>142</v>
      </c>
      <c r="G20" s="15">
        <v>1</v>
      </c>
      <c r="H20" s="15">
        <v>20</v>
      </c>
      <c r="I20" s="15">
        <v>29</v>
      </c>
      <c r="J20" s="15">
        <v>34</v>
      </c>
      <c r="K20" s="15">
        <v>20</v>
      </c>
      <c r="L20" s="16">
        <v>0.58823999999999999</v>
      </c>
      <c r="M20" s="15">
        <v>29</v>
      </c>
      <c r="N20" s="16">
        <v>0.85294000000000003</v>
      </c>
      <c r="O20" s="15">
        <v>3.375</v>
      </c>
      <c r="P20" s="15">
        <v>114.75</v>
      </c>
      <c r="Q20" s="15">
        <v>0.2</v>
      </c>
      <c r="R20" s="15">
        <v>573.75</v>
      </c>
      <c r="S20" s="15">
        <v>3.27</v>
      </c>
      <c r="T20" s="15">
        <v>35.090000000000003</v>
      </c>
    </row>
    <row r="21" spans="1:20" x14ac:dyDescent="0.2">
      <c r="A21" s="11" t="s">
        <v>58</v>
      </c>
      <c r="B21" s="11" t="s">
        <v>24</v>
      </c>
      <c r="C21" s="11">
        <v>201620</v>
      </c>
      <c r="D21" s="11" t="s">
        <v>112</v>
      </c>
      <c r="E21" s="11" t="s">
        <v>144</v>
      </c>
      <c r="F21" s="11" t="s">
        <v>142</v>
      </c>
      <c r="G21" s="11">
        <v>1</v>
      </c>
      <c r="H21" s="11">
        <v>26</v>
      </c>
      <c r="I21" s="11">
        <v>34</v>
      </c>
      <c r="J21" s="11">
        <v>36</v>
      </c>
      <c r="K21" s="11">
        <v>26</v>
      </c>
      <c r="L21" s="17">
        <v>0.72221999999999997</v>
      </c>
      <c r="M21" s="11">
        <v>34</v>
      </c>
      <c r="N21" s="17">
        <v>0.94443999999999995</v>
      </c>
      <c r="O21" s="11">
        <v>3.375</v>
      </c>
      <c r="P21" s="11">
        <v>121.5</v>
      </c>
      <c r="Q21" s="11">
        <v>0.2</v>
      </c>
      <c r="R21" s="11">
        <v>607.5</v>
      </c>
      <c r="S21" s="11">
        <v>3.47</v>
      </c>
      <c r="T21" s="11">
        <v>35.01</v>
      </c>
    </row>
    <row r="22" spans="1:20" x14ac:dyDescent="0.2">
      <c r="A22" s="15" t="s">
        <v>59</v>
      </c>
      <c r="B22" s="15" t="s">
        <v>26</v>
      </c>
      <c r="C22" s="15">
        <v>201710</v>
      </c>
      <c r="D22" s="15" t="s">
        <v>112</v>
      </c>
      <c r="E22" s="15" t="s">
        <v>144</v>
      </c>
      <c r="F22" s="15" t="s">
        <v>142</v>
      </c>
      <c r="G22" s="15">
        <v>1</v>
      </c>
      <c r="H22" s="15">
        <v>41</v>
      </c>
      <c r="I22" s="15">
        <v>43</v>
      </c>
      <c r="J22" s="15">
        <v>45</v>
      </c>
      <c r="K22" s="15">
        <v>41</v>
      </c>
      <c r="L22" s="16">
        <v>0.91110999999999998</v>
      </c>
      <c r="M22" s="15">
        <v>43</v>
      </c>
      <c r="N22" s="16">
        <v>0.95555999999999996</v>
      </c>
      <c r="O22" s="15">
        <v>3.375</v>
      </c>
      <c r="P22" s="15">
        <v>151.875</v>
      </c>
      <c r="Q22" s="15">
        <v>0.27</v>
      </c>
      <c r="R22" s="15">
        <v>562.5</v>
      </c>
      <c r="S22" s="15">
        <v>4.33</v>
      </c>
      <c r="T22" s="15">
        <v>35.08</v>
      </c>
    </row>
    <row r="23" spans="1:20" x14ac:dyDescent="0.2">
      <c r="A23" s="11" t="s">
        <v>59</v>
      </c>
      <c r="B23" s="11" t="s">
        <v>26</v>
      </c>
      <c r="C23" s="11">
        <v>201710</v>
      </c>
      <c r="D23" s="11" t="s">
        <v>112</v>
      </c>
      <c r="E23" s="11" t="s">
        <v>144</v>
      </c>
      <c r="F23" s="11" t="s">
        <v>143</v>
      </c>
      <c r="G23" s="11">
        <v>1</v>
      </c>
      <c r="H23" s="11">
        <v>33</v>
      </c>
      <c r="I23" s="11">
        <v>34</v>
      </c>
      <c r="J23" s="11">
        <v>37</v>
      </c>
      <c r="K23" s="11">
        <v>33</v>
      </c>
      <c r="L23" s="17">
        <v>0.89188999999999996</v>
      </c>
      <c r="M23" s="11">
        <v>34</v>
      </c>
      <c r="N23" s="17">
        <v>0.91891999999999996</v>
      </c>
      <c r="O23" s="11">
        <v>3.375</v>
      </c>
      <c r="P23" s="11">
        <v>124.875</v>
      </c>
      <c r="Q23" s="11">
        <v>0.2</v>
      </c>
      <c r="R23" s="11">
        <v>624.38</v>
      </c>
      <c r="S23" s="11">
        <v>3.56</v>
      </c>
      <c r="T23" s="11">
        <v>35.08</v>
      </c>
    </row>
    <row r="24" spans="1:20" x14ac:dyDescent="0.2">
      <c r="A24" s="15" t="s">
        <v>59</v>
      </c>
      <c r="B24" s="15" t="s">
        <v>28</v>
      </c>
      <c r="C24" s="15">
        <v>201720</v>
      </c>
      <c r="D24" s="15" t="s">
        <v>112</v>
      </c>
      <c r="E24" s="15" t="s">
        <v>144</v>
      </c>
      <c r="F24" s="15" t="s">
        <v>143</v>
      </c>
      <c r="G24" s="15">
        <v>1</v>
      </c>
      <c r="H24" s="15">
        <v>28</v>
      </c>
      <c r="I24" s="15">
        <v>31</v>
      </c>
      <c r="J24" s="15">
        <v>31</v>
      </c>
      <c r="K24" s="15">
        <v>28</v>
      </c>
      <c r="L24" s="16">
        <v>0.90322999999999998</v>
      </c>
      <c r="M24" s="15">
        <v>31</v>
      </c>
      <c r="N24" s="16">
        <v>1</v>
      </c>
      <c r="O24" s="15">
        <v>3.375</v>
      </c>
      <c r="P24" s="15">
        <v>104.625</v>
      </c>
      <c r="Q24" s="15">
        <v>0.2</v>
      </c>
      <c r="R24" s="15">
        <v>523.13</v>
      </c>
      <c r="S24" s="15">
        <v>2.98</v>
      </c>
      <c r="T24" s="15">
        <v>35.11</v>
      </c>
    </row>
    <row r="25" spans="1:20" x14ac:dyDescent="0.2">
      <c r="A25" s="11" t="s">
        <v>57</v>
      </c>
      <c r="B25" s="11" t="s">
        <v>18</v>
      </c>
      <c r="C25" s="11">
        <v>201510</v>
      </c>
      <c r="D25" s="11" t="s">
        <v>112</v>
      </c>
      <c r="E25" s="11" t="s">
        <v>145</v>
      </c>
      <c r="F25" s="11" t="s">
        <v>142</v>
      </c>
      <c r="G25" s="11">
        <v>1</v>
      </c>
      <c r="H25" s="11">
        <v>13</v>
      </c>
      <c r="I25" s="11">
        <v>13</v>
      </c>
      <c r="J25" s="11">
        <v>13</v>
      </c>
      <c r="K25" s="11">
        <v>13</v>
      </c>
      <c r="L25" s="17">
        <v>1</v>
      </c>
      <c r="M25" s="11">
        <v>13</v>
      </c>
      <c r="N25" s="17">
        <v>1</v>
      </c>
      <c r="O25" s="11">
        <v>1.125</v>
      </c>
      <c r="P25" s="11">
        <v>14.625</v>
      </c>
      <c r="Q25" s="11">
        <v>7.0000000000000007E-2</v>
      </c>
      <c r="R25" s="11">
        <v>208.93</v>
      </c>
      <c r="S25" s="11">
        <v>0.41</v>
      </c>
      <c r="T25" s="11">
        <v>35.67</v>
      </c>
    </row>
    <row r="26" spans="1:20" x14ac:dyDescent="0.2">
      <c r="A26" s="15" t="s">
        <v>57</v>
      </c>
      <c r="B26" s="15" t="s">
        <v>18</v>
      </c>
      <c r="C26" s="15">
        <v>201510</v>
      </c>
      <c r="D26" s="15" t="s">
        <v>112</v>
      </c>
      <c r="E26" s="15" t="s">
        <v>145</v>
      </c>
      <c r="F26" s="15" t="s">
        <v>143</v>
      </c>
      <c r="G26" s="15">
        <v>1</v>
      </c>
      <c r="H26" s="15">
        <v>15</v>
      </c>
      <c r="I26" s="15">
        <v>16</v>
      </c>
      <c r="J26" s="15">
        <v>16</v>
      </c>
      <c r="K26" s="15">
        <v>15</v>
      </c>
      <c r="L26" s="16">
        <v>0.9375</v>
      </c>
      <c r="M26" s="15">
        <v>16</v>
      </c>
      <c r="N26" s="16">
        <v>1</v>
      </c>
      <c r="O26" s="15">
        <v>1.125</v>
      </c>
      <c r="P26" s="15">
        <v>18</v>
      </c>
      <c r="Q26" s="15">
        <v>7.0000000000000007E-2</v>
      </c>
      <c r="R26" s="15">
        <v>257.14</v>
      </c>
      <c r="S26" s="15">
        <v>0.51</v>
      </c>
      <c r="T26" s="15">
        <v>35.29</v>
      </c>
    </row>
    <row r="27" spans="1:20" x14ac:dyDescent="0.2">
      <c r="A27" s="11" t="s">
        <v>57</v>
      </c>
      <c r="B27" s="11" t="s">
        <v>20</v>
      </c>
      <c r="C27" s="11">
        <v>201520</v>
      </c>
      <c r="D27" s="11" t="s">
        <v>112</v>
      </c>
      <c r="E27" s="11" t="s">
        <v>145</v>
      </c>
      <c r="F27" s="11" t="s">
        <v>143</v>
      </c>
      <c r="G27" s="11">
        <v>2</v>
      </c>
      <c r="H27" s="11">
        <v>29</v>
      </c>
      <c r="I27" s="11">
        <v>29</v>
      </c>
      <c r="J27" s="11">
        <v>32</v>
      </c>
      <c r="K27" s="11">
        <v>29</v>
      </c>
      <c r="L27" s="17">
        <v>0.90625</v>
      </c>
      <c r="M27" s="11">
        <v>29</v>
      </c>
      <c r="N27" s="17">
        <v>0.90625</v>
      </c>
      <c r="O27" s="11">
        <v>1.125</v>
      </c>
      <c r="P27" s="11">
        <v>36</v>
      </c>
      <c r="Q27" s="11">
        <v>0.13</v>
      </c>
      <c r="R27" s="11">
        <v>276.92</v>
      </c>
      <c r="S27" s="11">
        <v>1.02</v>
      </c>
      <c r="T27" s="11">
        <v>35.29</v>
      </c>
    </row>
    <row r="28" spans="1:20" x14ac:dyDescent="0.2">
      <c r="A28" s="15" t="s">
        <v>58</v>
      </c>
      <c r="B28" s="15" t="s">
        <v>22</v>
      </c>
      <c r="C28" s="15">
        <v>201610</v>
      </c>
      <c r="D28" s="15" t="s">
        <v>112</v>
      </c>
      <c r="E28" s="15" t="s">
        <v>145</v>
      </c>
      <c r="F28" s="15" t="s">
        <v>143</v>
      </c>
      <c r="G28" s="15">
        <v>2</v>
      </c>
      <c r="H28" s="15">
        <v>27</v>
      </c>
      <c r="I28" s="15">
        <v>27</v>
      </c>
      <c r="J28" s="15">
        <v>27</v>
      </c>
      <c r="K28" s="15">
        <v>27</v>
      </c>
      <c r="L28" s="16">
        <v>1</v>
      </c>
      <c r="M28" s="15">
        <v>27</v>
      </c>
      <c r="N28" s="16">
        <v>1</v>
      </c>
      <c r="O28" s="15">
        <v>1.125</v>
      </c>
      <c r="P28" s="15">
        <v>30.375</v>
      </c>
      <c r="Q28" s="15">
        <v>0.13</v>
      </c>
      <c r="R28" s="15">
        <v>233.65</v>
      </c>
      <c r="S28" s="15">
        <v>0.97</v>
      </c>
      <c r="T28" s="15">
        <v>31.31</v>
      </c>
    </row>
    <row r="29" spans="1:20" x14ac:dyDescent="0.2">
      <c r="A29" s="11" t="s">
        <v>58</v>
      </c>
      <c r="B29" s="11" t="s">
        <v>24</v>
      </c>
      <c r="C29" s="11">
        <v>201620</v>
      </c>
      <c r="D29" s="11" t="s">
        <v>112</v>
      </c>
      <c r="E29" s="11" t="s">
        <v>145</v>
      </c>
      <c r="F29" s="11" t="s">
        <v>143</v>
      </c>
      <c r="G29" s="11">
        <v>2</v>
      </c>
      <c r="H29" s="11">
        <v>29</v>
      </c>
      <c r="I29" s="11">
        <v>29</v>
      </c>
      <c r="J29" s="11">
        <v>31</v>
      </c>
      <c r="K29" s="11">
        <v>29</v>
      </c>
      <c r="L29" s="17">
        <v>0.93547999999999998</v>
      </c>
      <c r="M29" s="11">
        <v>29</v>
      </c>
      <c r="N29" s="17">
        <v>0.93547999999999998</v>
      </c>
      <c r="O29" s="11">
        <v>1.125</v>
      </c>
      <c r="P29" s="11">
        <v>34.875</v>
      </c>
      <c r="Q29" s="11">
        <v>0.13</v>
      </c>
      <c r="R29" s="11">
        <v>268.27</v>
      </c>
      <c r="S29" s="11">
        <v>1.1200000000000001</v>
      </c>
      <c r="T29" s="11">
        <v>31.14</v>
      </c>
    </row>
    <row r="30" spans="1:20" x14ac:dyDescent="0.2">
      <c r="A30" s="15" t="s">
        <v>59</v>
      </c>
      <c r="B30" s="15" t="s">
        <v>26</v>
      </c>
      <c r="C30" s="15">
        <v>201710</v>
      </c>
      <c r="D30" s="15" t="s">
        <v>112</v>
      </c>
      <c r="E30" s="15" t="s">
        <v>145</v>
      </c>
      <c r="F30" s="15" t="s">
        <v>143</v>
      </c>
      <c r="G30" s="15">
        <v>2</v>
      </c>
      <c r="H30" s="15">
        <v>32</v>
      </c>
      <c r="I30" s="15">
        <v>32</v>
      </c>
      <c r="J30" s="15">
        <v>34</v>
      </c>
      <c r="K30" s="15">
        <v>32</v>
      </c>
      <c r="L30" s="16">
        <v>0.94118000000000002</v>
      </c>
      <c r="M30" s="15">
        <v>32</v>
      </c>
      <c r="N30" s="16">
        <v>0.94118000000000002</v>
      </c>
      <c r="O30" s="15">
        <v>1.125</v>
      </c>
      <c r="P30" s="15">
        <v>38.25</v>
      </c>
      <c r="Q30" s="15">
        <v>0.13</v>
      </c>
      <c r="R30" s="15">
        <v>294.23</v>
      </c>
      <c r="S30" s="15">
        <v>1.23</v>
      </c>
      <c r="T30" s="15">
        <v>31.1</v>
      </c>
    </row>
    <row r="31" spans="1:20" x14ac:dyDescent="0.2">
      <c r="A31" s="11" t="s">
        <v>59</v>
      </c>
      <c r="B31" s="11" t="s">
        <v>28</v>
      </c>
      <c r="C31" s="11">
        <v>201720</v>
      </c>
      <c r="D31" s="11" t="s">
        <v>112</v>
      </c>
      <c r="E31" s="11" t="s">
        <v>145</v>
      </c>
      <c r="F31" s="11" t="s">
        <v>143</v>
      </c>
      <c r="G31" s="11">
        <v>2</v>
      </c>
      <c r="H31" s="11">
        <v>31</v>
      </c>
      <c r="I31" s="11">
        <v>33</v>
      </c>
      <c r="J31" s="11">
        <v>37</v>
      </c>
      <c r="K31" s="11">
        <v>31</v>
      </c>
      <c r="L31" s="17">
        <v>0.83784000000000003</v>
      </c>
      <c r="M31" s="11">
        <v>33</v>
      </c>
      <c r="N31" s="17">
        <v>0.89188999999999996</v>
      </c>
      <c r="O31" s="11">
        <v>1.125</v>
      </c>
      <c r="P31" s="11">
        <v>41.625</v>
      </c>
      <c r="Q31" s="11">
        <v>0.13</v>
      </c>
      <c r="R31" s="11">
        <v>320.19</v>
      </c>
      <c r="S31" s="11">
        <v>1.34</v>
      </c>
      <c r="T31" s="11">
        <v>31.06</v>
      </c>
    </row>
    <row r="32" spans="1:20" x14ac:dyDescent="0.2">
      <c r="A32" s="15" t="s">
        <v>57</v>
      </c>
      <c r="B32" s="15" t="s">
        <v>18</v>
      </c>
      <c r="C32" s="15">
        <v>201510</v>
      </c>
      <c r="D32" s="15" t="s">
        <v>112</v>
      </c>
      <c r="E32" s="15" t="s">
        <v>146</v>
      </c>
      <c r="F32" s="15" t="s">
        <v>142</v>
      </c>
      <c r="G32" s="15">
        <v>1</v>
      </c>
      <c r="H32" s="15">
        <v>17</v>
      </c>
      <c r="I32" s="15">
        <v>26</v>
      </c>
      <c r="J32" s="15">
        <v>34</v>
      </c>
      <c r="K32" s="15">
        <v>17</v>
      </c>
      <c r="L32" s="16">
        <v>0.5</v>
      </c>
      <c r="M32" s="15">
        <v>26</v>
      </c>
      <c r="N32" s="16">
        <v>0.76471</v>
      </c>
      <c r="O32" s="15">
        <v>3.375</v>
      </c>
      <c r="P32" s="15">
        <v>114.75</v>
      </c>
      <c r="Q32" s="15">
        <v>0.2</v>
      </c>
      <c r="R32" s="15">
        <v>573.75</v>
      </c>
      <c r="S32" s="15">
        <v>3.27</v>
      </c>
      <c r="T32" s="15">
        <v>35.090000000000003</v>
      </c>
    </row>
    <row r="33" spans="1:20" x14ac:dyDescent="0.2">
      <c r="A33" s="11" t="s">
        <v>57</v>
      </c>
      <c r="B33" s="11" t="s">
        <v>18</v>
      </c>
      <c r="C33" s="11">
        <v>201510</v>
      </c>
      <c r="D33" s="11" t="s">
        <v>112</v>
      </c>
      <c r="E33" s="11" t="s">
        <v>146</v>
      </c>
      <c r="F33" s="11" t="s">
        <v>143</v>
      </c>
      <c r="G33" s="11">
        <v>1</v>
      </c>
      <c r="H33" s="11">
        <v>17</v>
      </c>
      <c r="I33" s="11">
        <v>23</v>
      </c>
      <c r="J33" s="11">
        <v>33</v>
      </c>
      <c r="K33" s="11">
        <v>17</v>
      </c>
      <c r="L33" s="17">
        <v>0.51515</v>
      </c>
      <c r="M33" s="11">
        <v>23</v>
      </c>
      <c r="N33" s="17">
        <v>0.69696999999999998</v>
      </c>
      <c r="O33" s="11">
        <v>3.375</v>
      </c>
      <c r="P33" s="11">
        <v>111.375</v>
      </c>
      <c r="Q33" s="11">
        <v>0.2</v>
      </c>
      <c r="R33" s="11">
        <v>556.88</v>
      </c>
      <c r="S33" s="11">
        <v>3.18</v>
      </c>
      <c r="T33" s="11">
        <v>35.020000000000003</v>
      </c>
    </row>
    <row r="34" spans="1:20" x14ac:dyDescent="0.2">
      <c r="A34" s="15" t="s">
        <v>57</v>
      </c>
      <c r="B34" s="15" t="s">
        <v>20</v>
      </c>
      <c r="C34" s="15">
        <v>201520</v>
      </c>
      <c r="D34" s="15" t="s">
        <v>112</v>
      </c>
      <c r="E34" s="15" t="s">
        <v>146</v>
      </c>
      <c r="F34" s="15" t="s">
        <v>142</v>
      </c>
      <c r="G34" s="15">
        <v>2</v>
      </c>
      <c r="H34" s="15">
        <v>31</v>
      </c>
      <c r="I34" s="15">
        <v>42</v>
      </c>
      <c r="J34" s="15">
        <v>58</v>
      </c>
      <c r="K34" s="15">
        <v>31</v>
      </c>
      <c r="L34" s="16">
        <v>0.53447999999999996</v>
      </c>
      <c r="M34" s="15">
        <v>42</v>
      </c>
      <c r="N34" s="16">
        <v>0.72414000000000001</v>
      </c>
      <c r="O34" s="15">
        <v>3.375</v>
      </c>
      <c r="P34" s="15">
        <v>195.75</v>
      </c>
      <c r="Q34" s="15">
        <v>0.4</v>
      </c>
      <c r="R34" s="15">
        <v>489.38</v>
      </c>
      <c r="S34" s="15">
        <v>5.58</v>
      </c>
      <c r="T34" s="15">
        <v>35.08</v>
      </c>
    </row>
    <row r="35" spans="1:20" x14ac:dyDescent="0.2">
      <c r="A35" s="11" t="s">
        <v>58</v>
      </c>
      <c r="B35" s="11" t="s">
        <v>22</v>
      </c>
      <c r="C35" s="11">
        <v>201610</v>
      </c>
      <c r="D35" s="11" t="s">
        <v>112</v>
      </c>
      <c r="E35" s="11" t="s">
        <v>146</v>
      </c>
      <c r="F35" s="11" t="s">
        <v>142</v>
      </c>
      <c r="G35" s="11">
        <v>1</v>
      </c>
      <c r="H35" s="11">
        <v>34</v>
      </c>
      <c r="I35" s="11">
        <v>38</v>
      </c>
      <c r="J35" s="11">
        <v>41</v>
      </c>
      <c r="K35" s="11">
        <v>34</v>
      </c>
      <c r="L35" s="17">
        <v>0.82926999999999995</v>
      </c>
      <c r="M35" s="11">
        <v>38</v>
      </c>
      <c r="N35" s="17">
        <v>0.92683000000000004</v>
      </c>
      <c r="O35" s="11">
        <v>3.375</v>
      </c>
      <c r="P35" s="11">
        <v>138.375</v>
      </c>
      <c r="Q35" s="11">
        <v>0.2</v>
      </c>
      <c r="R35" s="11">
        <v>691.88</v>
      </c>
      <c r="S35" s="11">
        <v>3.95</v>
      </c>
      <c r="T35" s="11">
        <v>35.03</v>
      </c>
    </row>
    <row r="36" spans="1:20" x14ac:dyDescent="0.2">
      <c r="A36" s="15" t="s">
        <v>58</v>
      </c>
      <c r="B36" s="15" t="s">
        <v>24</v>
      </c>
      <c r="C36" s="15">
        <v>201620</v>
      </c>
      <c r="D36" s="15" t="s">
        <v>112</v>
      </c>
      <c r="E36" s="15" t="s">
        <v>146</v>
      </c>
      <c r="F36" s="15" t="s">
        <v>142</v>
      </c>
      <c r="G36" s="15">
        <v>2</v>
      </c>
      <c r="H36" s="15">
        <v>47</v>
      </c>
      <c r="I36" s="15">
        <v>57</v>
      </c>
      <c r="J36" s="15">
        <v>68</v>
      </c>
      <c r="K36" s="15">
        <v>47</v>
      </c>
      <c r="L36" s="16">
        <v>0.69118000000000002</v>
      </c>
      <c r="M36" s="15">
        <v>57</v>
      </c>
      <c r="N36" s="16">
        <v>0.83823999999999999</v>
      </c>
      <c r="O36" s="15">
        <v>3.375</v>
      </c>
      <c r="P36" s="15">
        <v>229.5</v>
      </c>
      <c r="Q36" s="15">
        <v>0.4</v>
      </c>
      <c r="R36" s="15">
        <v>573.75</v>
      </c>
      <c r="S36" s="15">
        <v>6.54</v>
      </c>
      <c r="T36" s="15">
        <v>35.090000000000003</v>
      </c>
    </row>
    <row r="37" spans="1:20" x14ac:dyDescent="0.2">
      <c r="A37" s="11" t="s">
        <v>59</v>
      </c>
      <c r="B37" s="11" t="s">
        <v>26</v>
      </c>
      <c r="C37" s="11">
        <v>201710</v>
      </c>
      <c r="D37" s="11" t="s">
        <v>112</v>
      </c>
      <c r="E37" s="11" t="s">
        <v>146</v>
      </c>
      <c r="F37" s="11" t="s">
        <v>142</v>
      </c>
      <c r="G37" s="11">
        <v>2</v>
      </c>
      <c r="H37" s="11">
        <v>53</v>
      </c>
      <c r="I37" s="11">
        <v>62</v>
      </c>
      <c r="J37" s="11">
        <v>70</v>
      </c>
      <c r="K37" s="11">
        <v>53</v>
      </c>
      <c r="L37" s="17">
        <v>0.75714000000000004</v>
      </c>
      <c r="M37" s="11">
        <v>62</v>
      </c>
      <c r="N37" s="17">
        <v>0.88571</v>
      </c>
      <c r="O37" s="11">
        <v>3.375</v>
      </c>
      <c r="P37" s="11">
        <v>236.25</v>
      </c>
      <c r="Q37" s="11">
        <v>0.4</v>
      </c>
      <c r="R37" s="11">
        <v>590.63</v>
      </c>
      <c r="S37" s="11">
        <v>6.74</v>
      </c>
      <c r="T37" s="11">
        <v>35.049999999999997</v>
      </c>
    </row>
    <row r="38" spans="1:20" x14ac:dyDescent="0.2">
      <c r="A38" s="15" t="s">
        <v>59</v>
      </c>
      <c r="B38" s="15" t="s">
        <v>28</v>
      </c>
      <c r="C38" s="15">
        <v>201720</v>
      </c>
      <c r="D38" s="15" t="s">
        <v>112</v>
      </c>
      <c r="E38" s="15" t="s">
        <v>146</v>
      </c>
      <c r="F38" s="15" t="s">
        <v>142</v>
      </c>
      <c r="G38" s="15">
        <v>1</v>
      </c>
      <c r="H38" s="15">
        <v>37</v>
      </c>
      <c r="I38" s="15">
        <v>37</v>
      </c>
      <c r="J38" s="15">
        <v>38</v>
      </c>
      <c r="K38" s="15">
        <v>37</v>
      </c>
      <c r="L38" s="16">
        <v>0.97367999999999999</v>
      </c>
      <c r="M38" s="15">
        <v>37</v>
      </c>
      <c r="N38" s="16">
        <v>0.97367999999999999</v>
      </c>
      <c r="O38" s="15">
        <v>3.375</v>
      </c>
      <c r="P38" s="15">
        <v>128.25</v>
      </c>
      <c r="Q38" s="15">
        <v>0.2</v>
      </c>
      <c r="R38" s="15">
        <v>641.25</v>
      </c>
      <c r="S38" s="15">
        <v>3.66</v>
      </c>
      <c r="T38" s="15">
        <v>35.04</v>
      </c>
    </row>
    <row r="39" spans="1:20" x14ac:dyDescent="0.2">
      <c r="A39" s="11" t="s">
        <v>57</v>
      </c>
      <c r="B39" s="11" t="s">
        <v>18</v>
      </c>
      <c r="C39" s="11">
        <v>201510</v>
      </c>
      <c r="D39" s="11" t="s">
        <v>112</v>
      </c>
      <c r="E39" s="11" t="s">
        <v>147</v>
      </c>
      <c r="F39" s="11" t="s">
        <v>142</v>
      </c>
      <c r="G39" s="11">
        <v>1</v>
      </c>
      <c r="H39" s="11">
        <v>35</v>
      </c>
      <c r="I39" s="11">
        <v>54</v>
      </c>
      <c r="J39" s="11">
        <v>60</v>
      </c>
      <c r="K39" s="11">
        <v>35</v>
      </c>
      <c r="L39" s="17">
        <v>0.58333000000000002</v>
      </c>
      <c r="M39" s="11">
        <v>54</v>
      </c>
      <c r="N39" s="17">
        <v>0.9</v>
      </c>
      <c r="O39" s="11">
        <v>3.375</v>
      </c>
      <c r="P39" s="11">
        <v>202.5</v>
      </c>
      <c r="Q39" s="11">
        <v>0.4</v>
      </c>
      <c r="R39" s="11">
        <v>506.25</v>
      </c>
      <c r="S39" s="11">
        <v>5.78</v>
      </c>
      <c r="T39" s="11">
        <v>35.03</v>
      </c>
    </row>
    <row r="40" spans="1:20" x14ac:dyDescent="0.2">
      <c r="A40" s="15" t="s">
        <v>57</v>
      </c>
      <c r="B40" s="15" t="s">
        <v>18</v>
      </c>
      <c r="C40" s="15">
        <v>201510</v>
      </c>
      <c r="D40" s="15" t="s">
        <v>112</v>
      </c>
      <c r="E40" s="15" t="s">
        <v>147</v>
      </c>
      <c r="F40" s="15" t="s">
        <v>148</v>
      </c>
      <c r="G40" s="15">
        <v>1</v>
      </c>
      <c r="H40" s="15">
        <v>28</v>
      </c>
      <c r="I40" s="15">
        <v>34</v>
      </c>
      <c r="J40" s="15">
        <v>38</v>
      </c>
      <c r="K40" s="15">
        <v>28</v>
      </c>
      <c r="L40" s="16">
        <v>0.73684000000000005</v>
      </c>
      <c r="M40" s="15">
        <v>34</v>
      </c>
      <c r="N40" s="16">
        <v>0.89473999999999998</v>
      </c>
      <c r="O40" s="15">
        <v>3.375</v>
      </c>
      <c r="P40" s="15">
        <v>128.25</v>
      </c>
      <c r="Q40" s="15">
        <v>0.2</v>
      </c>
      <c r="R40" s="15">
        <v>641.25</v>
      </c>
      <c r="S40" s="15">
        <v>3.23</v>
      </c>
      <c r="T40" s="15">
        <v>39.71</v>
      </c>
    </row>
    <row r="41" spans="1:20" x14ac:dyDescent="0.2">
      <c r="A41" s="11" t="s">
        <v>57</v>
      </c>
      <c r="B41" s="11" t="s">
        <v>20</v>
      </c>
      <c r="C41" s="11">
        <v>201520</v>
      </c>
      <c r="D41" s="11" t="s">
        <v>112</v>
      </c>
      <c r="E41" s="11" t="s">
        <v>147</v>
      </c>
      <c r="F41" s="11" t="s">
        <v>142</v>
      </c>
      <c r="G41" s="11">
        <v>1</v>
      </c>
      <c r="H41" s="11">
        <v>44</v>
      </c>
      <c r="I41" s="11">
        <v>60</v>
      </c>
      <c r="J41" s="11">
        <v>67</v>
      </c>
      <c r="K41" s="11">
        <v>44</v>
      </c>
      <c r="L41" s="17">
        <v>0.65671999999999997</v>
      </c>
      <c r="M41" s="11">
        <v>60</v>
      </c>
      <c r="N41" s="17">
        <v>0.89551999999999998</v>
      </c>
      <c r="O41" s="11">
        <v>3.375</v>
      </c>
      <c r="P41" s="11">
        <v>226.125</v>
      </c>
      <c r="Q41" s="11">
        <v>0.4</v>
      </c>
      <c r="R41" s="11">
        <v>565.30999999999995</v>
      </c>
      <c r="S41" s="11">
        <v>6.45</v>
      </c>
      <c r="T41" s="11">
        <v>35.06</v>
      </c>
    </row>
    <row r="42" spans="1:20" x14ac:dyDescent="0.2">
      <c r="A42" s="15" t="s">
        <v>57</v>
      </c>
      <c r="B42" s="15" t="s">
        <v>20</v>
      </c>
      <c r="C42" s="15">
        <v>201520</v>
      </c>
      <c r="D42" s="15" t="s">
        <v>112</v>
      </c>
      <c r="E42" s="15" t="s">
        <v>147</v>
      </c>
      <c r="F42" s="15" t="s">
        <v>148</v>
      </c>
      <c r="G42" s="15">
        <v>1</v>
      </c>
      <c r="H42" s="15">
        <v>23</v>
      </c>
      <c r="I42" s="15">
        <v>29</v>
      </c>
      <c r="J42" s="15">
        <v>35</v>
      </c>
      <c r="K42" s="15">
        <v>23</v>
      </c>
      <c r="L42" s="16">
        <v>0.65713999999999995</v>
      </c>
      <c r="M42" s="15">
        <v>29</v>
      </c>
      <c r="N42" s="16">
        <v>0.82857000000000003</v>
      </c>
      <c r="O42" s="15">
        <v>3.375</v>
      </c>
      <c r="P42" s="15">
        <v>118.125</v>
      </c>
      <c r="Q42" s="15">
        <v>0.2</v>
      </c>
      <c r="R42" s="15">
        <v>590.63</v>
      </c>
      <c r="S42" s="15">
        <v>2.97</v>
      </c>
      <c r="T42" s="15">
        <v>39.770000000000003</v>
      </c>
    </row>
    <row r="43" spans="1:20" x14ac:dyDescent="0.2">
      <c r="A43" s="11" t="s">
        <v>58</v>
      </c>
      <c r="B43" s="11" t="s">
        <v>22</v>
      </c>
      <c r="C43" s="11">
        <v>201610</v>
      </c>
      <c r="D43" s="11" t="s">
        <v>112</v>
      </c>
      <c r="E43" s="11" t="s">
        <v>147</v>
      </c>
      <c r="F43" s="11" t="s">
        <v>148</v>
      </c>
      <c r="G43" s="11">
        <v>1</v>
      </c>
      <c r="H43" s="11">
        <v>24</v>
      </c>
      <c r="I43" s="11">
        <v>29</v>
      </c>
      <c r="J43" s="11">
        <v>36</v>
      </c>
      <c r="K43" s="11">
        <v>24</v>
      </c>
      <c r="L43" s="17">
        <v>0.66666999999999998</v>
      </c>
      <c r="M43" s="11">
        <v>29</v>
      </c>
      <c r="N43" s="17">
        <v>0.80556000000000005</v>
      </c>
      <c r="O43" s="11">
        <v>3.375</v>
      </c>
      <c r="P43" s="11">
        <v>121.5</v>
      </c>
      <c r="Q43" s="11">
        <v>0.2</v>
      </c>
      <c r="R43" s="11">
        <v>607.5</v>
      </c>
      <c r="S43" s="11">
        <v>3.06</v>
      </c>
      <c r="T43" s="11">
        <v>39.71</v>
      </c>
    </row>
    <row r="44" spans="1:20" x14ac:dyDescent="0.2">
      <c r="A44" s="15" t="s">
        <v>58</v>
      </c>
      <c r="B44" s="15" t="s">
        <v>22</v>
      </c>
      <c r="C44" s="15">
        <v>201610</v>
      </c>
      <c r="D44" s="15" t="s">
        <v>112</v>
      </c>
      <c r="E44" s="15" t="s">
        <v>147</v>
      </c>
      <c r="F44" s="15" t="s">
        <v>142</v>
      </c>
      <c r="G44" s="15">
        <v>1</v>
      </c>
      <c r="H44" s="15">
        <v>62</v>
      </c>
      <c r="I44" s="15">
        <v>92</v>
      </c>
      <c r="J44" s="15">
        <v>98</v>
      </c>
      <c r="K44" s="15">
        <v>62</v>
      </c>
      <c r="L44" s="16">
        <v>0.63265000000000005</v>
      </c>
      <c r="M44" s="15">
        <v>92</v>
      </c>
      <c r="N44" s="16">
        <v>0.93877999999999995</v>
      </c>
      <c r="O44" s="15">
        <v>3.375</v>
      </c>
      <c r="P44" s="15">
        <v>330.75</v>
      </c>
      <c r="Q44" s="15">
        <v>0.6</v>
      </c>
      <c r="R44" s="15">
        <v>551.25</v>
      </c>
      <c r="S44" s="15">
        <v>9.44</v>
      </c>
      <c r="T44" s="15">
        <v>35.04</v>
      </c>
    </row>
    <row r="45" spans="1:20" x14ac:dyDescent="0.2">
      <c r="A45" s="11" t="s">
        <v>58</v>
      </c>
      <c r="B45" s="11" t="s">
        <v>24</v>
      </c>
      <c r="C45" s="11">
        <v>201620</v>
      </c>
      <c r="D45" s="11" t="s">
        <v>112</v>
      </c>
      <c r="E45" s="11" t="s">
        <v>147</v>
      </c>
      <c r="F45" s="11" t="s">
        <v>142</v>
      </c>
      <c r="G45" s="11">
        <v>1</v>
      </c>
      <c r="H45" s="11">
        <v>62</v>
      </c>
      <c r="I45" s="11">
        <v>83</v>
      </c>
      <c r="J45" s="11">
        <v>91</v>
      </c>
      <c r="K45" s="11">
        <v>62</v>
      </c>
      <c r="L45" s="17">
        <v>0.68132000000000004</v>
      </c>
      <c r="M45" s="11">
        <v>83</v>
      </c>
      <c r="N45" s="17">
        <v>0.91208999999999996</v>
      </c>
      <c r="O45" s="11">
        <v>3.375</v>
      </c>
      <c r="P45" s="11">
        <v>307.125</v>
      </c>
      <c r="Q45" s="11">
        <v>0.53</v>
      </c>
      <c r="R45" s="11">
        <v>579.48</v>
      </c>
      <c r="S45" s="11">
        <v>8.76</v>
      </c>
      <c r="T45" s="11">
        <v>35.06</v>
      </c>
    </row>
    <row r="46" spans="1:20" x14ac:dyDescent="0.2">
      <c r="A46" s="15" t="s">
        <v>58</v>
      </c>
      <c r="B46" s="15" t="s">
        <v>24</v>
      </c>
      <c r="C46" s="15">
        <v>201620</v>
      </c>
      <c r="D46" s="15" t="s">
        <v>112</v>
      </c>
      <c r="E46" s="15" t="s">
        <v>147</v>
      </c>
      <c r="F46" s="15" t="s">
        <v>148</v>
      </c>
      <c r="G46" s="15">
        <v>1</v>
      </c>
      <c r="H46" s="15">
        <v>28</v>
      </c>
      <c r="I46" s="15">
        <v>32</v>
      </c>
      <c r="J46" s="15">
        <v>40</v>
      </c>
      <c r="K46" s="15">
        <v>28</v>
      </c>
      <c r="L46" s="16">
        <v>0.7</v>
      </c>
      <c r="M46" s="15">
        <v>32</v>
      </c>
      <c r="N46" s="16">
        <v>0.8</v>
      </c>
      <c r="O46" s="15">
        <v>3.375</v>
      </c>
      <c r="P46" s="15">
        <v>135</v>
      </c>
      <c r="Q46" s="15">
        <v>0.2</v>
      </c>
      <c r="R46" s="15">
        <v>675</v>
      </c>
      <c r="S46" s="15">
        <v>3.4</v>
      </c>
      <c r="T46" s="15">
        <v>39.71</v>
      </c>
    </row>
    <row r="47" spans="1:20" x14ac:dyDescent="0.2">
      <c r="A47" s="11" t="s">
        <v>59</v>
      </c>
      <c r="B47" s="11" t="s">
        <v>26</v>
      </c>
      <c r="C47" s="11">
        <v>201710</v>
      </c>
      <c r="D47" s="11" t="s">
        <v>112</v>
      </c>
      <c r="E47" s="11" t="s">
        <v>147</v>
      </c>
      <c r="F47" s="11" t="s">
        <v>148</v>
      </c>
      <c r="G47" s="11">
        <v>1</v>
      </c>
      <c r="H47" s="11">
        <v>33</v>
      </c>
      <c r="I47" s="11">
        <v>38</v>
      </c>
      <c r="J47" s="11">
        <v>45</v>
      </c>
      <c r="K47" s="11">
        <v>33</v>
      </c>
      <c r="L47" s="17">
        <v>0.73333000000000004</v>
      </c>
      <c r="M47" s="11">
        <v>38</v>
      </c>
      <c r="N47" s="17">
        <v>0.84443999999999997</v>
      </c>
      <c r="O47" s="11">
        <v>3.375</v>
      </c>
      <c r="P47" s="11">
        <v>151.875</v>
      </c>
      <c r="Q47" s="11">
        <v>0.27</v>
      </c>
      <c r="R47" s="11">
        <v>562.5</v>
      </c>
      <c r="S47" s="11">
        <v>3.82</v>
      </c>
      <c r="T47" s="11">
        <v>39.76</v>
      </c>
    </row>
    <row r="48" spans="1:20" x14ac:dyDescent="0.2">
      <c r="A48" s="15" t="s">
        <v>59</v>
      </c>
      <c r="B48" s="15" t="s">
        <v>26</v>
      </c>
      <c r="C48" s="15">
        <v>201710</v>
      </c>
      <c r="D48" s="15" t="s">
        <v>112</v>
      </c>
      <c r="E48" s="15" t="s">
        <v>147</v>
      </c>
      <c r="F48" s="15" t="s">
        <v>142</v>
      </c>
      <c r="G48" s="15">
        <v>1</v>
      </c>
      <c r="H48" s="15">
        <v>39</v>
      </c>
      <c r="I48" s="15">
        <v>44</v>
      </c>
      <c r="J48" s="15">
        <v>45</v>
      </c>
      <c r="K48" s="15">
        <v>39</v>
      </c>
      <c r="L48" s="16">
        <v>0.86667000000000005</v>
      </c>
      <c r="M48" s="15">
        <v>44</v>
      </c>
      <c r="N48" s="16">
        <v>0.97777999999999998</v>
      </c>
      <c r="O48" s="15">
        <v>3.375</v>
      </c>
      <c r="P48" s="15">
        <v>151.875</v>
      </c>
      <c r="Q48" s="15">
        <v>0.27</v>
      </c>
      <c r="R48" s="15">
        <v>562.5</v>
      </c>
      <c r="S48" s="15">
        <v>4.33</v>
      </c>
      <c r="T48" s="15">
        <v>35.08</v>
      </c>
    </row>
    <row r="49" spans="1:20" x14ac:dyDescent="0.2">
      <c r="A49" s="11" t="s">
        <v>59</v>
      </c>
      <c r="B49" s="11" t="s">
        <v>28</v>
      </c>
      <c r="C49" s="11">
        <v>201720</v>
      </c>
      <c r="D49" s="11" t="s">
        <v>112</v>
      </c>
      <c r="E49" s="11" t="s">
        <v>147</v>
      </c>
      <c r="F49" s="11" t="s">
        <v>148</v>
      </c>
      <c r="G49" s="11">
        <v>3</v>
      </c>
      <c r="H49" s="11">
        <v>78</v>
      </c>
      <c r="I49" s="11">
        <v>95</v>
      </c>
      <c r="J49" s="11">
        <v>105</v>
      </c>
      <c r="K49" s="11">
        <v>78</v>
      </c>
      <c r="L49" s="17">
        <v>0.74285999999999996</v>
      </c>
      <c r="M49" s="11">
        <v>95</v>
      </c>
      <c r="N49" s="17">
        <v>0.90476000000000001</v>
      </c>
      <c r="O49" s="11">
        <v>3.375</v>
      </c>
      <c r="P49" s="11">
        <v>354.375</v>
      </c>
      <c r="Q49" s="11">
        <v>0.4</v>
      </c>
      <c r="R49" s="11">
        <v>885.94</v>
      </c>
      <c r="S49" s="11">
        <v>8.92</v>
      </c>
      <c r="T49" s="11">
        <v>39.729999999999997</v>
      </c>
    </row>
    <row r="50" spans="1:20" x14ac:dyDescent="0.2">
      <c r="A50" s="15" t="s">
        <v>59</v>
      </c>
      <c r="B50" s="15" t="s">
        <v>28</v>
      </c>
      <c r="C50" s="15">
        <v>201720</v>
      </c>
      <c r="D50" s="15" t="s">
        <v>112</v>
      </c>
      <c r="E50" s="15" t="s">
        <v>147</v>
      </c>
      <c r="F50" s="15" t="s">
        <v>142</v>
      </c>
      <c r="G50" s="15">
        <v>1</v>
      </c>
      <c r="H50" s="15">
        <v>36</v>
      </c>
      <c r="I50" s="15">
        <v>40</v>
      </c>
      <c r="J50" s="15">
        <v>42</v>
      </c>
      <c r="K50" s="15">
        <v>36</v>
      </c>
      <c r="L50" s="16">
        <v>0.85714000000000001</v>
      </c>
      <c r="M50" s="15">
        <v>40</v>
      </c>
      <c r="N50" s="16">
        <v>0.95238</v>
      </c>
      <c r="O50" s="15">
        <v>3.375</v>
      </c>
      <c r="P50" s="15">
        <v>141.75</v>
      </c>
      <c r="Q50" s="15">
        <v>0.2</v>
      </c>
      <c r="R50" s="15">
        <v>708.75</v>
      </c>
      <c r="S50" s="15">
        <v>4.04</v>
      </c>
      <c r="T50" s="15">
        <v>35.090000000000003</v>
      </c>
    </row>
    <row r="51" spans="1:20" x14ac:dyDescent="0.2">
      <c r="A51" s="11" t="s">
        <v>57</v>
      </c>
      <c r="B51" s="11" t="s">
        <v>18</v>
      </c>
      <c r="C51" s="11">
        <v>201510</v>
      </c>
      <c r="D51" s="11" t="s">
        <v>112</v>
      </c>
      <c r="E51" s="11" t="s">
        <v>149</v>
      </c>
      <c r="F51" s="11" t="s">
        <v>142</v>
      </c>
      <c r="G51" s="11">
        <v>1</v>
      </c>
      <c r="H51" s="11">
        <v>21</v>
      </c>
      <c r="I51" s="11">
        <v>27</v>
      </c>
      <c r="J51" s="11">
        <v>35</v>
      </c>
      <c r="K51" s="11">
        <v>21</v>
      </c>
      <c r="L51" s="17">
        <v>0.6</v>
      </c>
      <c r="M51" s="11">
        <v>27</v>
      </c>
      <c r="N51" s="17">
        <v>0.77142999999999995</v>
      </c>
      <c r="O51" s="11">
        <v>3.375</v>
      </c>
      <c r="P51" s="11">
        <v>118.125</v>
      </c>
      <c r="Q51" s="11">
        <v>0.2</v>
      </c>
      <c r="R51" s="11">
        <v>590.63</v>
      </c>
      <c r="S51" s="11">
        <v>3.37</v>
      </c>
      <c r="T51" s="11">
        <v>35.049999999999997</v>
      </c>
    </row>
    <row r="52" spans="1:20" x14ac:dyDescent="0.2">
      <c r="A52" s="15" t="s">
        <v>57</v>
      </c>
      <c r="B52" s="15" t="s">
        <v>20</v>
      </c>
      <c r="C52" s="15">
        <v>201520</v>
      </c>
      <c r="D52" s="15" t="s">
        <v>112</v>
      </c>
      <c r="E52" s="15" t="s">
        <v>149</v>
      </c>
      <c r="F52" s="15" t="s">
        <v>143</v>
      </c>
      <c r="G52" s="15">
        <v>1</v>
      </c>
      <c r="H52" s="15">
        <v>10</v>
      </c>
      <c r="I52" s="15">
        <v>16</v>
      </c>
      <c r="J52" s="15">
        <v>26</v>
      </c>
      <c r="K52" s="15">
        <v>10</v>
      </c>
      <c r="L52" s="16">
        <v>0.38462000000000002</v>
      </c>
      <c r="M52" s="15">
        <v>16</v>
      </c>
      <c r="N52" s="16">
        <v>0.61538000000000004</v>
      </c>
      <c r="O52" s="15">
        <v>3.375</v>
      </c>
      <c r="P52" s="15">
        <v>87.75</v>
      </c>
      <c r="Q52" s="15">
        <v>0.2</v>
      </c>
      <c r="R52" s="15">
        <v>438.75</v>
      </c>
      <c r="S52" s="15">
        <v>2.5</v>
      </c>
      <c r="T52" s="15">
        <v>35.1</v>
      </c>
    </row>
    <row r="53" spans="1:20" x14ac:dyDescent="0.2">
      <c r="A53" s="11" t="s">
        <v>58</v>
      </c>
      <c r="B53" s="11" t="s">
        <v>22</v>
      </c>
      <c r="C53" s="11">
        <v>201610</v>
      </c>
      <c r="D53" s="11" t="s">
        <v>112</v>
      </c>
      <c r="E53" s="11" t="s">
        <v>149</v>
      </c>
      <c r="F53" s="11" t="s">
        <v>142</v>
      </c>
      <c r="G53" s="11">
        <v>1</v>
      </c>
      <c r="H53" s="11">
        <v>20</v>
      </c>
      <c r="I53" s="11">
        <v>31</v>
      </c>
      <c r="J53" s="11">
        <v>33</v>
      </c>
      <c r="K53" s="11">
        <v>20</v>
      </c>
      <c r="L53" s="17">
        <v>0.60606000000000004</v>
      </c>
      <c r="M53" s="11">
        <v>31</v>
      </c>
      <c r="N53" s="17">
        <v>0.93938999999999995</v>
      </c>
      <c r="O53" s="11">
        <v>3.375</v>
      </c>
      <c r="P53" s="11">
        <v>111.375</v>
      </c>
      <c r="Q53" s="11">
        <v>0.2</v>
      </c>
      <c r="R53" s="11">
        <v>556.88</v>
      </c>
      <c r="S53" s="11">
        <v>3.18</v>
      </c>
      <c r="T53" s="11">
        <v>35.020000000000003</v>
      </c>
    </row>
    <row r="54" spans="1:20" x14ac:dyDescent="0.2">
      <c r="A54" s="15" t="s">
        <v>58</v>
      </c>
      <c r="B54" s="15" t="s">
        <v>24</v>
      </c>
      <c r="C54" s="15">
        <v>201620</v>
      </c>
      <c r="D54" s="15" t="s">
        <v>112</v>
      </c>
      <c r="E54" s="15" t="s">
        <v>149</v>
      </c>
      <c r="F54" s="15" t="s">
        <v>142</v>
      </c>
      <c r="G54" s="15">
        <v>1</v>
      </c>
      <c r="H54" s="15">
        <v>27</v>
      </c>
      <c r="I54" s="15">
        <v>30</v>
      </c>
      <c r="J54" s="15">
        <v>33</v>
      </c>
      <c r="K54" s="15">
        <v>27</v>
      </c>
      <c r="L54" s="16">
        <v>0.81818000000000002</v>
      </c>
      <c r="M54" s="15">
        <v>30</v>
      </c>
      <c r="N54" s="16">
        <v>0.90908999999999995</v>
      </c>
      <c r="O54" s="15">
        <v>3.375</v>
      </c>
      <c r="P54" s="15">
        <v>111.375</v>
      </c>
      <c r="Q54" s="15">
        <v>0.2</v>
      </c>
      <c r="R54" s="15">
        <v>556.88</v>
      </c>
      <c r="S54" s="15">
        <v>3.18</v>
      </c>
      <c r="T54" s="15">
        <v>35.020000000000003</v>
      </c>
    </row>
    <row r="55" spans="1:20" x14ac:dyDescent="0.2">
      <c r="A55" s="11" t="s">
        <v>59</v>
      </c>
      <c r="B55" s="11" t="s">
        <v>26</v>
      </c>
      <c r="C55" s="11">
        <v>201710</v>
      </c>
      <c r="D55" s="11" t="s">
        <v>112</v>
      </c>
      <c r="E55" s="11" t="s">
        <v>149</v>
      </c>
      <c r="F55" s="11" t="s">
        <v>143</v>
      </c>
      <c r="G55" s="11">
        <v>1</v>
      </c>
      <c r="H55" s="11">
        <v>24</v>
      </c>
      <c r="I55" s="11">
        <v>27</v>
      </c>
      <c r="J55" s="11">
        <v>34</v>
      </c>
      <c r="K55" s="11">
        <v>24</v>
      </c>
      <c r="L55" s="17">
        <v>0.70587999999999995</v>
      </c>
      <c r="M55" s="11">
        <v>27</v>
      </c>
      <c r="N55" s="17">
        <v>0.79412000000000005</v>
      </c>
      <c r="O55" s="11">
        <v>3.375</v>
      </c>
      <c r="P55" s="11">
        <v>114.75</v>
      </c>
      <c r="Q55" s="11">
        <v>0.2</v>
      </c>
      <c r="R55" s="11">
        <v>573.75</v>
      </c>
      <c r="S55" s="11">
        <v>3.27</v>
      </c>
      <c r="T55" s="11">
        <v>35.090000000000003</v>
      </c>
    </row>
    <row r="56" spans="1:20" x14ac:dyDescent="0.2">
      <c r="A56" s="15" t="s">
        <v>59</v>
      </c>
      <c r="B56" s="15" t="s">
        <v>28</v>
      </c>
      <c r="C56" s="15">
        <v>201720</v>
      </c>
      <c r="D56" s="15" t="s">
        <v>112</v>
      </c>
      <c r="E56" s="15" t="s">
        <v>149</v>
      </c>
      <c r="F56" s="15" t="s">
        <v>143</v>
      </c>
      <c r="G56" s="15">
        <v>1</v>
      </c>
      <c r="H56" s="15">
        <v>30</v>
      </c>
      <c r="I56" s="15">
        <v>34</v>
      </c>
      <c r="J56" s="15">
        <v>38</v>
      </c>
      <c r="K56" s="15">
        <v>30</v>
      </c>
      <c r="L56" s="16">
        <v>0.78947000000000001</v>
      </c>
      <c r="M56" s="15">
        <v>34</v>
      </c>
      <c r="N56" s="16">
        <v>0.89473999999999998</v>
      </c>
      <c r="O56" s="15">
        <v>3.375</v>
      </c>
      <c r="P56" s="15">
        <v>128.25</v>
      </c>
      <c r="Q56" s="15">
        <v>0.2</v>
      </c>
      <c r="R56" s="15">
        <v>641.25</v>
      </c>
      <c r="S56" s="15">
        <v>3.66</v>
      </c>
      <c r="T56" s="15">
        <v>35.04</v>
      </c>
    </row>
    <row r="57" spans="1:20" x14ac:dyDescent="0.2">
      <c r="A57" s="11" t="s">
        <v>57</v>
      </c>
      <c r="B57" s="11" t="s">
        <v>18</v>
      </c>
      <c r="C57" s="11">
        <v>201510</v>
      </c>
      <c r="D57" s="11" t="s">
        <v>112</v>
      </c>
      <c r="E57" s="11" t="s">
        <v>150</v>
      </c>
      <c r="F57" s="11" t="s">
        <v>143</v>
      </c>
      <c r="G57" s="11">
        <v>1</v>
      </c>
      <c r="H57" s="11">
        <v>33</v>
      </c>
      <c r="I57" s="11">
        <v>36</v>
      </c>
      <c r="J57" s="11">
        <v>38</v>
      </c>
      <c r="K57" s="11">
        <v>33</v>
      </c>
      <c r="L57" s="17">
        <v>0.86841999999999997</v>
      </c>
      <c r="M57" s="11">
        <v>36</v>
      </c>
      <c r="N57" s="17">
        <v>0.94737000000000005</v>
      </c>
      <c r="O57" s="11">
        <v>3.375</v>
      </c>
      <c r="P57" s="11">
        <v>128.25</v>
      </c>
      <c r="Q57" s="11">
        <v>0.2</v>
      </c>
      <c r="R57" s="11">
        <v>641.25</v>
      </c>
      <c r="S57" s="11">
        <v>3.66</v>
      </c>
      <c r="T57" s="11">
        <v>35.04</v>
      </c>
    </row>
    <row r="58" spans="1:20" x14ac:dyDescent="0.2">
      <c r="A58" s="15" t="s">
        <v>58</v>
      </c>
      <c r="B58" s="15" t="s">
        <v>22</v>
      </c>
      <c r="C58" s="15">
        <v>201610</v>
      </c>
      <c r="D58" s="15" t="s">
        <v>112</v>
      </c>
      <c r="E58" s="15" t="s">
        <v>150</v>
      </c>
      <c r="F58" s="15" t="s">
        <v>143</v>
      </c>
      <c r="G58" s="15">
        <v>1</v>
      </c>
      <c r="H58" s="15">
        <v>20</v>
      </c>
      <c r="I58" s="15">
        <v>31</v>
      </c>
      <c r="J58" s="15">
        <v>33</v>
      </c>
      <c r="K58" s="15">
        <v>20</v>
      </c>
      <c r="L58" s="16">
        <v>0.60606000000000004</v>
      </c>
      <c r="M58" s="15">
        <v>31</v>
      </c>
      <c r="N58" s="16">
        <v>0.93938999999999995</v>
      </c>
      <c r="O58" s="15">
        <v>3.375</v>
      </c>
      <c r="P58" s="15">
        <v>111.375</v>
      </c>
      <c r="Q58" s="15">
        <v>0.2</v>
      </c>
      <c r="R58" s="15">
        <v>556.88</v>
      </c>
      <c r="S58" s="15">
        <v>3.18</v>
      </c>
      <c r="T58" s="15">
        <v>35.020000000000003</v>
      </c>
    </row>
    <row r="59" spans="1:20" x14ac:dyDescent="0.2">
      <c r="A59" s="11" t="s">
        <v>59</v>
      </c>
      <c r="B59" s="11" t="s">
        <v>26</v>
      </c>
      <c r="C59" s="11">
        <v>201710</v>
      </c>
      <c r="D59" s="11" t="s">
        <v>112</v>
      </c>
      <c r="E59" s="11" t="s">
        <v>150</v>
      </c>
      <c r="F59" s="11" t="s">
        <v>142</v>
      </c>
      <c r="G59" s="11">
        <v>1</v>
      </c>
      <c r="H59" s="11">
        <v>38</v>
      </c>
      <c r="I59" s="11">
        <v>41</v>
      </c>
      <c r="J59" s="11">
        <v>43</v>
      </c>
      <c r="K59" s="11">
        <v>38</v>
      </c>
      <c r="L59" s="17">
        <v>0.88371999999999995</v>
      </c>
      <c r="M59" s="11">
        <v>41</v>
      </c>
      <c r="N59" s="17">
        <v>0.95348999999999995</v>
      </c>
      <c r="O59" s="11">
        <v>3.375</v>
      </c>
      <c r="P59" s="11">
        <v>145.125</v>
      </c>
      <c r="Q59" s="11">
        <v>0.2</v>
      </c>
      <c r="R59" s="11">
        <v>725.63</v>
      </c>
      <c r="S59" s="11">
        <v>4.1399999999999997</v>
      </c>
      <c r="T59" s="11">
        <v>35.049999999999997</v>
      </c>
    </row>
    <row r="60" spans="1:20" x14ac:dyDescent="0.2">
      <c r="A60" s="15" t="s">
        <v>57</v>
      </c>
      <c r="B60" s="15" t="s">
        <v>18</v>
      </c>
      <c r="C60" s="15">
        <v>201510</v>
      </c>
      <c r="D60" s="15" t="s">
        <v>112</v>
      </c>
      <c r="E60" s="15" t="s">
        <v>151</v>
      </c>
      <c r="F60" s="15" t="s">
        <v>142</v>
      </c>
      <c r="G60" s="15">
        <v>1</v>
      </c>
      <c r="H60" s="15">
        <v>24</v>
      </c>
      <c r="I60" s="15">
        <v>28</v>
      </c>
      <c r="J60" s="15">
        <v>31</v>
      </c>
      <c r="K60" s="15">
        <v>24</v>
      </c>
      <c r="L60" s="16">
        <v>0.77419000000000004</v>
      </c>
      <c r="M60" s="15">
        <v>28</v>
      </c>
      <c r="N60" s="16">
        <v>0.90322999999999998</v>
      </c>
      <c r="O60" s="15">
        <v>3.375</v>
      </c>
      <c r="P60" s="15">
        <v>104.625</v>
      </c>
      <c r="Q60" s="15">
        <v>0.2</v>
      </c>
      <c r="R60" s="15">
        <v>523.13</v>
      </c>
      <c r="S60" s="15">
        <v>2.98</v>
      </c>
      <c r="T60" s="15">
        <v>35.11</v>
      </c>
    </row>
    <row r="61" spans="1:20" x14ac:dyDescent="0.2">
      <c r="A61" s="11" t="s">
        <v>58</v>
      </c>
      <c r="B61" s="11" t="s">
        <v>22</v>
      </c>
      <c r="C61" s="11">
        <v>201610</v>
      </c>
      <c r="D61" s="11" t="s">
        <v>112</v>
      </c>
      <c r="E61" s="11" t="s">
        <v>151</v>
      </c>
      <c r="F61" s="11" t="s">
        <v>143</v>
      </c>
      <c r="G61" s="11">
        <v>1</v>
      </c>
      <c r="H61" s="11">
        <v>20</v>
      </c>
      <c r="I61" s="11">
        <v>26</v>
      </c>
      <c r="J61" s="11">
        <v>29</v>
      </c>
      <c r="K61" s="11">
        <v>20</v>
      </c>
      <c r="L61" s="17">
        <v>0.68966000000000005</v>
      </c>
      <c r="M61" s="11">
        <v>26</v>
      </c>
      <c r="N61" s="17">
        <v>0.89654999999999996</v>
      </c>
      <c r="O61" s="11">
        <v>3.375</v>
      </c>
      <c r="P61" s="11">
        <v>97.875</v>
      </c>
      <c r="Q61" s="11">
        <v>0.2</v>
      </c>
      <c r="R61" s="11">
        <v>489.38</v>
      </c>
      <c r="S61" s="11">
        <v>2.79</v>
      </c>
      <c r="T61" s="11">
        <v>35.08</v>
      </c>
    </row>
    <row r="62" spans="1:20" x14ac:dyDescent="0.2">
      <c r="A62" s="15" t="s">
        <v>58</v>
      </c>
      <c r="B62" s="15" t="s">
        <v>22</v>
      </c>
      <c r="C62" s="15">
        <v>201610</v>
      </c>
      <c r="D62" s="15" t="s">
        <v>112</v>
      </c>
      <c r="E62" s="15" t="s">
        <v>151</v>
      </c>
      <c r="F62" s="15" t="s">
        <v>142</v>
      </c>
      <c r="G62" s="15">
        <v>1</v>
      </c>
      <c r="H62" s="15">
        <v>24</v>
      </c>
      <c r="I62" s="15">
        <v>27</v>
      </c>
      <c r="J62" s="15">
        <v>33</v>
      </c>
      <c r="K62" s="15">
        <v>24</v>
      </c>
      <c r="L62" s="16">
        <v>0.72726999999999997</v>
      </c>
      <c r="M62" s="15">
        <v>27</v>
      </c>
      <c r="N62" s="16">
        <v>0.81818000000000002</v>
      </c>
      <c r="O62" s="15">
        <v>3.375</v>
      </c>
      <c r="P62" s="15">
        <v>111.375</v>
      </c>
      <c r="Q62" s="15">
        <v>0.2</v>
      </c>
      <c r="R62" s="15">
        <v>556.88</v>
      </c>
      <c r="S62" s="15">
        <v>3.18</v>
      </c>
      <c r="T62" s="15">
        <v>35.020000000000003</v>
      </c>
    </row>
    <row r="63" spans="1:20" x14ac:dyDescent="0.2">
      <c r="A63" s="11" t="s">
        <v>58</v>
      </c>
      <c r="B63" s="11" t="s">
        <v>24</v>
      </c>
      <c r="C63" s="11">
        <v>201620</v>
      </c>
      <c r="D63" s="11" t="s">
        <v>112</v>
      </c>
      <c r="E63" s="11" t="s">
        <v>151</v>
      </c>
      <c r="F63" s="11" t="s">
        <v>142</v>
      </c>
      <c r="G63" s="11">
        <v>1</v>
      </c>
      <c r="H63" s="11">
        <v>27</v>
      </c>
      <c r="I63" s="11">
        <v>33</v>
      </c>
      <c r="J63" s="11">
        <v>34</v>
      </c>
      <c r="K63" s="11">
        <v>27</v>
      </c>
      <c r="L63" s="17">
        <v>0.79412000000000005</v>
      </c>
      <c r="M63" s="11">
        <v>33</v>
      </c>
      <c r="N63" s="17">
        <v>0.97058999999999995</v>
      </c>
      <c r="O63" s="11">
        <v>3.375</v>
      </c>
      <c r="P63" s="11">
        <v>114.75</v>
      </c>
      <c r="Q63" s="11">
        <v>0.2</v>
      </c>
      <c r="R63" s="11">
        <v>573.75</v>
      </c>
      <c r="S63" s="11">
        <v>3.27</v>
      </c>
      <c r="T63" s="11">
        <v>35.090000000000003</v>
      </c>
    </row>
    <row r="64" spans="1:20" x14ac:dyDescent="0.2">
      <c r="A64" s="15" t="s">
        <v>59</v>
      </c>
      <c r="B64" s="15" t="s">
        <v>27</v>
      </c>
      <c r="C64" s="15">
        <v>201715</v>
      </c>
      <c r="D64" s="15" t="s">
        <v>112</v>
      </c>
      <c r="E64" s="15" t="s">
        <v>151</v>
      </c>
      <c r="F64" s="15" t="s">
        <v>142</v>
      </c>
      <c r="G64" s="15">
        <v>1</v>
      </c>
      <c r="H64" s="15">
        <v>33</v>
      </c>
      <c r="I64" s="15">
        <v>33</v>
      </c>
      <c r="J64" s="15">
        <v>34</v>
      </c>
      <c r="K64" s="15">
        <v>33</v>
      </c>
      <c r="L64" s="16">
        <v>0.97058999999999995</v>
      </c>
      <c r="M64" s="15">
        <v>33</v>
      </c>
      <c r="N64" s="16">
        <v>0.97058999999999995</v>
      </c>
      <c r="O64" s="15">
        <v>3.375</v>
      </c>
      <c r="P64" s="15">
        <v>114.75</v>
      </c>
      <c r="Q64" s="15">
        <v>0.2</v>
      </c>
      <c r="R64" s="15">
        <v>573.75</v>
      </c>
      <c r="S64" s="15">
        <v>3.32</v>
      </c>
      <c r="T64" s="15">
        <v>34.56</v>
      </c>
    </row>
    <row r="65" spans="1:20" x14ac:dyDescent="0.2">
      <c r="A65" s="11" t="s">
        <v>59</v>
      </c>
      <c r="B65" s="11" t="s">
        <v>28</v>
      </c>
      <c r="C65" s="11">
        <v>201720</v>
      </c>
      <c r="D65" s="11" t="s">
        <v>112</v>
      </c>
      <c r="E65" s="11" t="s">
        <v>151</v>
      </c>
      <c r="F65" s="11" t="s">
        <v>142</v>
      </c>
      <c r="G65" s="11">
        <v>1</v>
      </c>
      <c r="H65" s="11">
        <v>28</v>
      </c>
      <c r="I65" s="11">
        <v>28</v>
      </c>
      <c r="J65" s="11">
        <v>32</v>
      </c>
      <c r="K65" s="11">
        <v>28</v>
      </c>
      <c r="L65" s="17">
        <v>0.875</v>
      </c>
      <c r="M65" s="11">
        <v>28</v>
      </c>
      <c r="N65" s="17">
        <v>0.875</v>
      </c>
      <c r="O65" s="11">
        <v>3.375</v>
      </c>
      <c r="P65" s="11">
        <v>108</v>
      </c>
      <c r="Q65" s="11">
        <v>0.2</v>
      </c>
      <c r="R65" s="11">
        <v>540</v>
      </c>
      <c r="S65" s="11">
        <v>3.08</v>
      </c>
      <c r="T65" s="11">
        <v>35.06</v>
      </c>
    </row>
    <row r="66" spans="1:20" x14ac:dyDescent="0.2">
      <c r="A66" s="15" t="s">
        <v>57</v>
      </c>
      <c r="B66" s="15" t="s">
        <v>18</v>
      </c>
      <c r="C66" s="15">
        <v>201510</v>
      </c>
      <c r="D66" s="15" t="s">
        <v>112</v>
      </c>
      <c r="E66" s="15" t="s">
        <v>152</v>
      </c>
      <c r="F66" s="15" t="s">
        <v>142</v>
      </c>
      <c r="G66" s="15">
        <v>1</v>
      </c>
      <c r="H66" s="15">
        <v>21</v>
      </c>
      <c r="I66" s="15">
        <v>23</v>
      </c>
      <c r="J66" s="15">
        <v>27</v>
      </c>
      <c r="K66" s="15">
        <v>21</v>
      </c>
      <c r="L66" s="16">
        <v>0.77778000000000003</v>
      </c>
      <c r="M66" s="15">
        <v>23</v>
      </c>
      <c r="N66" s="16">
        <v>0.85185</v>
      </c>
      <c r="O66" s="15">
        <v>2.25</v>
      </c>
      <c r="P66" s="15">
        <v>60.75</v>
      </c>
      <c r="Q66" s="15">
        <v>0.13</v>
      </c>
      <c r="R66" s="15">
        <v>467.31</v>
      </c>
      <c r="S66" s="15">
        <v>1.76</v>
      </c>
      <c r="T66" s="15">
        <v>34.520000000000003</v>
      </c>
    </row>
    <row r="67" spans="1:20" x14ac:dyDescent="0.2">
      <c r="A67" s="11" t="s">
        <v>58</v>
      </c>
      <c r="B67" s="11" t="s">
        <v>22</v>
      </c>
      <c r="C67" s="11">
        <v>201610</v>
      </c>
      <c r="D67" s="11" t="s">
        <v>112</v>
      </c>
      <c r="E67" s="11" t="s">
        <v>152</v>
      </c>
      <c r="F67" s="11" t="s">
        <v>143</v>
      </c>
      <c r="G67" s="11">
        <v>1</v>
      </c>
      <c r="H67" s="11">
        <v>17</v>
      </c>
      <c r="I67" s="11">
        <v>19</v>
      </c>
      <c r="J67" s="11">
        <v>22</v>
      </c>
      <c r="K67" s="11">
        <v>17</v>
      </c>
      <c r="L67" s="17">
        <v>0.77273000000000003</v>
      </c>
      <c r="M67" s="11">
        <v>19</v>
      </c>
      <c r="N67" s="17">
        <v>0.86363999999999996</v>
      </c>
      <c r="O67" s="11">
        <v>2.25</v>
      </c>
      <c r="P67" s="11">
        <v>49.5</v>
      </c>
      <c r="Q67" s="11">
        <v>0.13</v>
      </c>
      <c r="R67" s="11">
        <v>380.77</v>
      </c>
      <c r="S67" s="11">
        <v>1.43</v>
      </c>
      <c r="T67" s="11">
        <v>34.619999999999997</v>
      </c>
    </row>
    <row r="68" spans="1:20" x14ac:dyDescent="0.2">
      <c r="A68" s="15" t="s">
        <v>59</v>
      </c>
      <c r="B68" s="15" t="s">
        <v>29</v>
      </c>
      <c r="C68" s="15">
        <v>201730</v>
      </c>
      <c r="D68" s="15" t="s">
        <v>112</v>
      </c>
      <c r="E68" s="15" t="s">
        <v>152</v>
      </c>
      <c r="F68" s="15" t="s">
        <v>142</v>
      </c>
      <c r="G68" s="15">
        <v>1</v>
      </c>
      <c r="H68" s="15">
        <v>16</v>
      </c>
      <c r="I68" s="15">
        <v>24</v>
      </c>
      <c r="J68" s="15">
        <v>24</v>
      </c>
      <c r="K68" s="15">
        <v>16</v>
      </c>
      <c r="L68" s="16">
        <v>0.66666999999999998</v>
      </c>
      <c r="M68" s="15">
        <v>24</v>
      </c>
      <c r="N68" s="16">
        <v>1</v>
      </c>
      <c r="O68" s="15">
        <v>2.25</v>
      </c>
      <c r="P68" s="15">
        <v>54</v>
      </c>
      <c r="Q68" s="15">
        <v>0.13</v>
      </c>
      <c r="R68" s="15">
        <v>415.38</v>
      </c>
      <c r="S68" s="15">
        <v>1.56</v>
      </c>
      <c r="T68" s="15">
        <v>34.619999999999997</v>
      </c>
    </row>
    <row r="69" spans="1:20" x14ac:dyDescent="0.2">
      <c r="A69" s="11" t="s">
        <v>57</v>
      </c>
      <c r="B69" s="11" t="s">
        <v>20</v>
      </c>
      <c r="C69" s="11">
        <v>201520</v>
      </c>
      <c r="D69" s="11" t="s">
        <v>112</v>
      </c>
      <c r="E69" s="11" t="s">
        <v>153</v>
      </c>
      <c r="F69" s="11" t="s">
        <v>142</v>
      </c>
      <c r="G69" s="11">
        <v>1</v>
      </c>
      <c r="H69" s="11">
        <v>19</v>
      </c>
      <c r="I69" s="11">
        <v>23</v>
      </c>
      <c r="J69" s="11">
        <v>31</v>
      </c>
      <c r="K69" s="11">
        <v>19</v>
      </c>
      <c r="L69" s="17">
        <v>0.6129</v>
      </c>
      <c r="M69" s="11">
        <v>23</v>
      </c>
      <c r="N69" s="17">
        <v>0.74194000000000004</v>
      </c>
      <c r="O69" s="11">
        <v>2.25</v>
      </c>
      <c r="P69" s="11">
        <v>69.75</v>
      </c>
      <c r="Q69" s="11">
        <v>0.13</v>
      </c>
      <c r="R69" s="11">
        <v>536.54</v>
      </c>
      <c r="S69" s="11">
        <v>2.02</v>
      </c>
      <c r="T69" s="11">
        <v>34.53</v>
      </c>
    </row>
    <row r="70" spans="1:20" x14ac:dyDescent="0.2">
      <c r="A70" s="15" t="s">
        <v>59</v>
      </c>
      <c r="B70" s="15" t="s">
        <v>26</v>
      </c>
      <c r="C70" s="15">
        <v>201710</v>
      </c>
      <c r="D70" s="15" t="s">
        <v>112</v>
      </c>
      <c r="E70" s="15" t="s">
        <v>154</v>
      </c>
      <c r="F70" s="15" t="s">
        <v>143</v>
      </c>
      <c r="G70" s="15">
        <v>1</v>
      </c>
      <c r="H70" s="15">
        <v>35</v>
      </c>
      <c r="I70" s="15">
        <v>36</v>
      </c>
      <c r="J70" s="15">
        <v>39</v>
      </c>
      <c r="K70" s="15">
        <v>35</v>
      </c>
      <c r="L70" s="16">
        <v>0.89744000000000002</v>
      </c>
      <c r="M70" s="15">
        <v>36</v>
      </c>
      <c r="N70" s="16">
        <v>0.92308000000000001</v>
      </c>
      <c r="O70" s="15">
        <v>2.25</v>
      </c>
      <c r="P70" s="15">
        <v>87.75</v>
      </c>
      <c r="Q70" s="15">
        <v>0.13</v>
      </c>
      <c r="R70" s="15">
        <v>675</v>
      </c>
      <c r="S70" s="15">
        <v>2.76</v>
      </c>
      <c r="T70" s="15">
        <v>31.79</v>
      </c>
    </row>
    <row r="71" spans="1:20" x14ac:dyDescent="0.2">
      <c r="A71" s="11" t="s">
        <v>57</v>
      </c>
      <c r="B71" s="11" t="s">
        <v>20</v>
      </c>
      <c r="C71" s="11">
        <v>201520</v>
      </c>
      <c r="D71" s="11" t="s">
        <v>112</v>
      </c>
      <c r="E71" s="11" t="s">
        <v>155</v>
      </c>
      <c r="F71" s="11" t="s">
        <v>143</v>
      </c>
      <c r="G71" s="11">
        <v>1</v>
      </c>
      <c r="H71" s="11">
        <v>28</v>
      </c>
      <c r="I71" s="11">
        <v>29</v>
      </c>
      <c r="J71" s="11">
        <v>33</v>
      </c>
      <c r="K71" s="11">
        <v>28</v>
      </c>
      <c r="L71" s="17">
        <v>0.84848000000000001</v>
      </c>
      <c r="M71" s="11">
        <v>29</v>
      </c>
      <c r="N71" s="17">
        <v>0.87878999999999996</v>
      </c>
      <c r="O71" s="11">
        <v>2.25</v>
      </c>
      <c r="P71" s="11">
        <v>74.25</v>
      </c>
      <c r="Q71" s="11">
        <v>0.13</v>
      </c>
      <c r="R71" s="11">
        <v>571.15</v>
      </c>
      <c r="S71" s="11">
        <v>2.15</v>
      </c>
      <c r="T71" s="11">
        <v>34.53</v>
      </c>
    </row>
    <row r="72" spans="1:20" x14ac:dyDescent="0.2">
      <c r="A72" s="15" t="s">
        <v>58</v>
      </c>
      <c r="B72" s="15" t="s">
        <v>24</v>
      </c>
      <c r="C72" s="15">
        <v>201620</v>
      </c>
      <c r="D72" s="15" t="s">
        <v>112</v>
      </c>
      <c r="E72" s="15" t="s">
        <v>155</v>
      </c>
      <c r="F72" s="15" t="s">
        <v>143</v>
      </c>
      <c r="G72" s="15">
        <v>1</v>
      </c>
      <c r="H72" s="15">
        <v>28</v>
      </c>
      <c r="I72" s="15">
        <v>32</v>
      </c>
      <c r="J72" s="15">
        <v>33</v>
      </c>
      <c r="K72" s="15">
        <v>28</v>
      </c>
      <c r="L72" s="16">
        <v>0.84848000000000001</v>
      </c>
      <c r="M72" s="15">
        <v>32</v>
      </c>
      <c r="N72" s="16">
        <v>0.96970000000000001</v>
      </c>
      <c r="O72" s="15">
        <v>2.25</v>
      </c>
      <c r="P72" s="15">
        <v>74.25</v>
      </c>
      <c r="Q72" s="15">
        <v>0.13</v>
      </c>
      <c r="R72" s="15">
        <v>571.15</v>
      </c>
      <c r="S72" s="15">
        <v>2.4300000000000002</v>
      </c>
      <c r="T72" s="15">
        <v>30.56</v>
      </c>
    </row>
    <row r="73" spans="1:20" x14ac:dyDescent="0.2">
      <c r="A73" s="11" t="s">
        <v>59</v>
      </c>
      <c r="B73" s="11" t="s">
        <v>27</v>
      </c>
      <c r="C73" s="11">
        <v>201715</v>
      </c>
      <c r="D73" s="11" t="s">
        <v>112</v>
      </c>
      <c r="E73" s="11" t="s">
        <v>155</v>
      </c>
      <c r="F73" s="11" t="s">
        <v>142</v>
      </c>
      <c r="G73" s="11">
        <v>1</v>
      </c>
      <c r="H73" s="11">
        <v>34</v>
      </c>
      <c r="I73" s="11">
        <v>34</v>
      </c>
      <c r="J73" s="11">
        <v>35</v>
      </c>
      <c r="K73" s="11">
        <v>34</v>
      </c>
      <c r="L73" s="17">
        <v>0.97143000000000002</v>
      </c>
      <c r="M73" s="11">
        <v>34</v>
      </c>
      <c r="N73" s="17">
        <v>0.97143000000000002</v>
      </c>
      <c r="O73" s="11">
        <v>2.25</v>
      </c>
      <c r="P73" s="11">
        <v>78.75</v>
      </c>
      <c r="Q73" s="11">
        <v>0.13</v>
      </c>
      <c r="R73" s="11">
        <v>605.77</v>
      </c>
      <c r="S73" s="11">
        <v>2.2799999999999998</v>
      </c>
      <c r="T73" s="11">
        <v>34.54</v>
      </c>
    </row>
    <row r="74" spans="1:20" x14ac:dyDescent="0.2">
      <c r="A74" s="15" t="s">
        <v>59</v>
      </c>
      <c r="B74" s="15" t="s">
        <v>28</v>
      </c>
      <c r="C74" s="15">
        <v>201720</v>
      </c>
      <c r="D74" s="15" t="s">
        <v>112</v>
      </c>
      <c r="E74" s="15" t="s">
        <v>156</v>
      </c>
      <c r="F74" s="15" t="s">
        <v>143</v>
      </c>
      <c r="G74" s="15">
        <v>1</v>
      </c>
      <c r="H74" s="15">
        <v>43</v>
      </c>
      <c r="I74" s="15">
        <v>43</v>
      </c>
      <c r="J74" s="15">
        <v>45</v>
      </c>
      <c r="K74" s="15">
        <v>43</v>
      </c>
      <c r="L74" s="16">
        <v>0.95555999999999996</v>
      </c>
      <c r="M74" s="15">
        <v>43</v>
      </c>
      <c r="N74" s="16">
        <v>0.95555999999999996</v>
      </c>
      <c r="O74" s="15">
        <v>2.25</v>
      </c>
      <c r="P74" s="15">
        <v>101.25</v>
      </c>
      <c r="Q74" s="15">
        <v>0.18</v>
      </c>
      <c r="R74" s="15">
        <v>562.5</v>
      </c>
      <c r="S74" s="15">
        <v>3.19</v>
      </c>
      <c r="T74" s="15">
        <v>31.74</v>
      </c>
    </row>
    <row r="75" spans="1:20" x14ac:dyDescent="0.2">
      <c r="A75" s="11" t="s">
        <v>58</v>
      </c>
      <c r="B75" s="11" t="s">
        <v>23</v>
      </c>
      <c r="C75" s="11">
        <v>201615</v>
      </c>
      <c r="D75" s="11" t="s">
        <v>112</v>
      </c>
      <c r="E75" s="11" t="s">
        <v>157</v>
      </c>
      <c r="F75" s="11" t="s">
        <v>142</v>
      </c>
      <c r="G75" s="11">
        <v>1</v>
      </c>
      <c r="H75" s="11">
        <v>34</v>
      </c>
      <c r="I75" s="11">
        <v>36</v>
      </c>
      <c r="J75" s="11">
        <v>36</v>
      </c>
      <c r="K75" s="11">
        <v>34</v>
      </c>
      <c r="L75" s="17">
        <v>0.94443999999999995</v>
      </c>
      <c r="M75" s="11">
        <v>36</v>
      </c>
      <c r="N75" s="17">
        <v>1</v>
      </c>
      <c r="O75" s="11">
        <v>3.375</v>
      </c>
      <c r="P75" s="11">
        <v>121.5</v>
      </c>
      <c r="Q75" s="11">
        <v>0.2</v>
      </c>
      <c r="R75" s="11">
        <v>607.5</v>
      </c>
      <c r="S75" s="11">
        <v>3.52</v>
      </c>
      <c r="T75" s="11">
        <v>34.520000000000003</v>
      </c>
    </row>
    <row r="76" spans="1:20" x14ac:dyDescent="0.2">
      <c r="A76" s="15" t="s">
        <v>57</v>
      </c>
      <c r="B76" s="15" t="s">
        <v>20</v>
      </c>
      <c r="C76" s="15">
        <v>201520</v>
      </c>
      <c r="D76" s="15" t="s">
        <v>112</v>
      </c>
      <c r="E76" s="15" t="s">
        <v>158</v>
      </c>
      <c r="F76" s="15" t="s">
        <v>142</v>
      </c>
      <c r="G76" s="15">
        <v>1</v>
      </c>
      <c r="H76" s="15">
        <v>27</v>
      </c>
      <c r="I76" s="15">
        <v>27</v>
      </c>
      <c r="J76" s="15">
        <v>32</v>
      </c>
      <c r="K76" s="15">
        <v>27</v>
      </c>
      <c r="L76" s="16">
        <v>0.84375</v>
      </c>
      <c r="M76" s="15">
        <v>27</v>
      </c>
      <c r="N76" s="16">
        <v>0.84375</v>
      </c>
      <c r="O76" s="15">
        <v>2.25</v>
      </c>
      <c r="P76" s="15">
        <v>72</v>
      </c>
      <c r="Q76" s="15">
        <v>0.13</v>
      </c>
      <c r="R76" s="15">
        <v>553.85</v>
      </c>
      <c r="S76" s="15">
        <v>2.08</v>
      </c>
      <c r="T76" s="15">
        <v>34.619999999999997</v>
      </c>
    </row>
    <row r="77" spans="1:20" x14ac:dyDescent="0.2">
      <c r="A77" s="11" t="s">
        <v>57</v>
      </c>
      <c r="B77" s="11" t="s">
        <v>20</v>
      </c>
      <c r="C77" s="11">
        <v>201520</v>
      </c>
      <c r="D77" s="11" t="s">
        <v>112</v>
      </c>
      <c r="E77" s="11" t="s">
        <v>159</v>
      </c>
      <c r="F77" s="11" t="s">
        <v>143</v>
      </c>
      <c r="G77" s="11">
        <v>1</v>
      </c>
      <c r="H77" s="11">
        <v>16</v>
      </c>
      <c r="I77" s="11">
        <v>17</v>
      </c>
      <c r="J77" s="11">
        <v>20</v>
      </c>
      <c r="K77" s="11">
        <v>16</v>
      </c>
      <c r="L77" s="17">
        <v>0.8</v>
      </c>
      <c r="M77" s="11">
        <v>17</v>
      </c>
      <c r="N77" s="17">
        <v>0.85</v>
      </c>
      <c r="O77" s="11">
        <v>12.24</v>
      </c>
      <c r="P77" s="11">
        <v>244.8</v>
      </c>
      <c r="Q77" s="11">
        <v>0.73</v>
      </c>
      <c r="R77" s="11">
        <v>335.34</v>
      </c>
      <c r="S77" s="11">
        <v>6.97</v>
      </c>
      <c r="T77" s="11">
        <v>35.119999999999997</v>
      </c>
    </row>
    <row r="78" spans="1:20" x14ac:dyDescent="0.2">
      <c r="A78" s="15" t="s">
        <v>58</v>
      </c>
      <c r="B78" s="15" t="s">
        <v>24</v>
      </c>
      <c r="C78" s="15">
        <v>201620</v>
      </c>
      <c r="D78" s="15" t="s">
        <v>112</v>
      </c>
      <c r="E78" s="15" t="s">
        <v>159</v>
      </c>
      <c r="F78" s="15" t="s">
        <v>143</v>
      </c>
      <c r="G78" s="15">
        <v>1</v>
      </c>
      <c r="H78" s="15">
        <v>14</v>
      </c>
      <c r="I78" s="15">
        <v>17</v>
      </c>
      <c r="J78" s="15">
        <v>19</v>
      </c>
      <c r="K78" s="15">
        <v>14</v>
      </c>
      <c r="L78" s="16">
        <v>0.73684000000000005</v>
      </c>
      <c r="M78" s="15">
        <v>17</v>
      </c>
      <c r="N78" s="16">
        <v>0.89473999999999998</v>
      </c>
      <c r="O78" s="15">
        <v>10.125</v>
      </c>
      <c r="P78" s="15">
        <v>192.375</v>
      </c>
      <c r="Q78" s="15">
        <v>0.6</v>
      </c>
      <c r="R78" s="15">
        <v>320.63</v>
      </c>
      <c r="S78" s="15">
        <v>6.61</v>
      </c>
      <c r="T78" s="15">
        <v>29.1</v>
      </c>
    </row>
    <row r="79" spans="1:20" x14ac:dyDescent="0.2">
      <c r="A79" s="11" t="s">
        <v>59</v>
      </c>
      <c r="B79" s="11" t="s">
        <v>28</v>
      </c>
      <c r="C79" s="11">
        <v>201720</v>
      </c>
      <c r="D79" s="11" t="s">
        <v>112</v>
      </c>
      <c r="E79" s="11" t="s">
        <v>159</v>
      </c>
      <c r="F79" s="11" t="s">
        <v>143</v>
      </c>
      <c r="G79" s="11">
        <v>1</v>
      </c>
      <c r="H79" s="11">
        <v>17</v>
      </c>
      <c r="I79" s="11">
        <v>19</v>
      </c>
      <c r="J79" s="11">
        <v>20</v>
      </c>
      <c r="K79" s="11">
        <v>17</v>
      </c>
      <c r="L79" s="17">
        <v>0.85</v>
      </c>
      <c r="M79" s="11">
        <v>19</v>
      </c>
      <c r="N79" s="17">
        <v>0.95</v>
      </c>
      <c r="O79" s="11">
        <v>10.125</v>
      </c>
      <c r="P79" s="11">
        <v>202.5</v>
      </c>
      <c r="Q79" s="11">
        <v>0.6</v>
      </c>
      <c r="R79" s="11">
        <v>337.5</v>
      </c>
      <c r="S79" s="11">
        <v>5.71</v>
      </c>
      <c r="T79" s="11">
        <v>35.46</v>
      </c>
    </row>
    <row r="80" spans="1:20" x14ac:dyDescent="0.2">
      <c r="A80" s="15" t="s">
        <v>58</v>
      </c>
      <c r="B80" s="15" t="s">
        <v>22</v>
      </c>
      <c r="C80" s="15">
        <v>201610</v>
      </c>
      <c r="D80" s="15" t="s">
        <v>112</v>
      </c>
      <c r="E80" s="15" t="s">
        <v>160</v>
      </c>
      <c r="F80" s="15" t="s">
        <v>142</v>
      </c>
      <c r="G80" s="15">
        <v>1</v>
      </c>
      <c r="H80" s="15">
        <v>15</v>
      </c>
      <c r="I80" s="15">
        <v>22</v>
      </c>
      <c r="J80" s="15">
        <v>26</v>
      </c>
      <c r="K80" s="15">
        <v>15</v>
      </c>
      <c r="L80" s="16">
        <v>0.57691999999999999</v>
      </c>
      <c r="M80" s="15">
        <v>22</v>
      </c>
      <c r="N80" s="16">
        <v>0.84614999999999996</v>
      </c>
      <c r="O80" s="15">
        <v>3.375</v>
      </c>
      <c r="P80" s="15">
        <v>87.75</v>
      </c>
      <c r="Q80" s="15">
        <v>0.2</v>
      </c>
      <c r="R80" s="15">
        <v>438.75</v>
      </c>
      <c r="S80" s="15">
        <v>2.5</v>
      </c>
      <c r="T80" s="15">
        <v>35.1</v>
      </c>
    </row>
    <row r="81" spans="1:20" x14ac:dyDescent="0.2">
      <c r="A81" s="11" t="s">
        <v>58</v>
      </c>
      <c r="B81" s="11" t="s">
        <v>24</v>
      </c>
      <c r="C81" s="11">
        <v>201620</v>
      </c>
      <c r="D81" s="11" t="s">
        <v>112</v>
      </c>
      <c r="E81" s="11" t="s">
        <v>161</v>
      </c>
      <c r="F81" s="11" t="s">
        <v>142</v>
      </c>
      <c r="G81" s="11">
        <v>1</v>
      </c>
      <c r="H81" s="11">
        <v>22</v>
      </c>
      <c r="I81" s="11">
        <v>26</v>
      </c>
      <c r="J81" s="11">
        <v>30</v>
      </c>
      <c r="K81" s="11">
        <v>22</v>
      </c>
      <c r="L81" s="17">
        <v>0.73333000000000004</v>
      </c>
      <c r="M81" s="11">
        <v>26</v>
      </c>
      <c r="N81" s="17">
        <v>0.86667000000000005</v>
      </c>
      <c r="O81" s="11">
        <v>3.375</v>
      </c>
      <c r="P81" s="11">
        <v>101.25</v>
      </c>
      <c r="Q81" s="11">
        <v>0.2</v>
      </c>
      <c r="R81" s="11">
        <v>506.25</v>
      </c>
      <c r="S81" s="11">
        <v>2.89</v>
      </c>
      <c r="T81" s="11">
        <v>35.03</v>
      </c>
    </row>
    <row r="82" spans="1:20" x14ac:dyDescent="0.2">
      <c r="A82" s="15" t="s">
        <v>59</v>
      </c>
      <c r="B82" s="15" t="s">
        <v>26</v>
      </c>
      <c r="C82" s="15">
        <v>201710</v>
      </c>
      <c r="D82" s="15" t="s">
        <v>112</v>
      </c>
      <c r="E82" s="15" t="s">
        <v>162</v>
      </c>
      <c r="F82" s="15" t="s">
        <v>143</v>
      </c>
      <c r="G82" s="15">
        <v>1</v>
      </c>
      <c r="H82" s="15">
        <v>33</v>
      </c>
      <c r="I82" s="15">
        <v>35</v>
      </c>
      <c r="J82" s="15">
        <v>37</v>
      </c>
      <c r="K82" s="15">
        <v>33</v>
      </c>
      <c r="L82" s="16">
        <v>0.89188999999999996</v>
      </c>
      <c r="M82" s="15">
        <v>35</v>
      </c>
      <c r="N82" s="16">
        <v>0.94594999999999996</v>
      </c>
      <c r="O82" s="15">
        <v>3.375</v>
      </c>
      <c r="P82" s="15">
        <v>124.875</v>
      </c>
      <c r="Q82" s="15">
        <v>0.2</v>
      </c>
      <c r="R82" s="15">
        <v>624.38</v>
      </c>
      <c r="S82" s="15">
        <v>3.56</v>
      </c>
      <c r="T82" s="15">
        <v>35.08</v>
      </c>
    </row>
    <row r="83" spans="1:20" x14ac:dyDescent="0.2">
      <c r="A83" s="11" t="s">
        <v>59</v>
      </c>
      <c r="B83" s="11" t="s">
        <v>28</v>
      </c>
      <c r="C83" s="11">
        <v>201720</v>
      </c>
      <c r="D83" s="11" t="s">
        <v>112</v>
      </c>
      <c r="E83" s="11" t="s">
        <v>163</v>
      </c>
      <c r="F83" s="11" t="s">
        <v>143</v>
      </c>
      <c r="G83" s="11">
        <v>1</v>
      </c>
      <c r="H83" s="11">
        <v>25</v>
      </c>
      <c r="I83" s="11">
        <v>28</v>
      </c>
      <c r="J83" s="11">
        <v>29</v>
      </c>
      <c r="K83" s="11">
        <v>25</v>
      </c>
      <c r="L83" s="17">
        <v>0.86207</v>
      </c>
      <c r="M83" s="11">
        <v>28</v>
      </c>
      <c r="N83" s="17">
        <v>0.96552000000000004</v>
      </c>
      <c r="O83" s="11">
        <v>3.375</v>
      </c>
      <c r="P83" s="11">
        <v>97.875</v>
      </c>
      <c r="Q83" s="11">
        <v>0.2</v>
      </c>
      <c r="R83" s="11">
        <v>489.38</v>
      </c>
      <c r="S83" s="11">
        <v>2.79</v>
      </c>
      <c r="T83" s="11">
        <v>35.08</v>
      </c>
    </row>
  </sheetData>
  <sheetProtection formatCells="0" formatColumns="0" formatRows="0" insertColumns="0" insertRows="0" insertHyperlinks="0" deleteColumns="0" deleteRows="0" sort="0" autoFilter="0" pivotTables="0"/>
  <autoFilter ref="A5:T83"/>
  <mergeCells count="3">
    <mergeCell ref="A1:T1"/>
    <mergeCell ref="A2:T2"/>
    <mergeCell ref="A3:T3"/>
  </mergeCells>
  <conditionalFormatting sqref="L6:L83">
    <cfRule type="cellIs" dxfId="7" priority="1" operator="lessThan">
      <formula>0.7</formula>
    </cfRule>
  </conditionalFormatting>
  <conditionalFormatting sqref="N6:N83">
    <cfRule type="cellIs" dxfId="6" priority="2" operator="lessThan">
      <formula>0.86</formula>
    </cfRule>
  </conditionalFormatting>
  <conditionalFormatting sqref="R6:R83">
    <cfRule type="cellIs" dxfId="5" priority="3" operator="lessThan">
      <formula>565</formula>
    </cfRule>
  </conditionalFormatting>
  <conditionalFormatting sqref="R6:R83">
    <cfRule type="cellIs" dxfId="4" priority="4" operator="greaterThanOrEqual">
      <formula>565</formula>
    </cfRule>
  </conditionalFormatting>
  <pageMargins left="0.4" right="0.4" top="0.6" bottom="0.6" header="0.3" footer="0.3"/>
  <pageSetup fitToHeight="0" orientation="landscape"/>
  <headerFooter>
    <oddHeader>&amp;L&amp;B2017-2018 IVC Research Report for CDEV&amp;RPrinted on &amp;D</oddHeader>
    <oddFooter>&amp;L&amp;BGenerated By: Office of Institutional Research&amp;RPage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  <vt:lpstr>course_data</vt:lpstr>
      <vt:lpstr>'H. COURSE DATA'!Print_Titles</vt:lpstr>
      <vt:lpstr>'I. SECTION DATA'!Print_Titles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2017-2018 IVC Research Report for CDEV</dc:title>
  <dc:subject>2017-2018 IVC Research Report for CDEV</dc:subject>
  <dc:creator>Office of Institutional Research</dc:creator>
  <cp:keywords/>
  <dc:description>CDEV Specific Report Generated from Banner Data.</dc:description>
  <cp:lastModifiedBy>Windows User</cp:lastModifiedBy>
  <dcterms:created xsi:type="dcterms:W3CDTF">2017-08-11T21:45:57Z</dcterms:created>
  <dcterms:modified xsi:type="dcterms:W3CDTF">2017-09-08T21:23:44Z</dcterms:modified>
  <cp:category/>
</cp:coreProperties>
</file>