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H. COURSE DATA" sheetId="8" r:id="rId11"/>
    <sheet name="I. SECTION DATA" sheetId="9" r:id="rId12"/>
    <sheet name="Worksheet" sheetId="10" r:id="rId13"/>
  </sheets>
  <definedNames>
    <definedName name="course_data">'H. COURSE DATA'!$A$5:$T$7</definedName>
    <definedName name="_xlnm._FilterDatabase" localSheetId="7" hidden="1">'H. COURSE DATA'!$A$5:$T$7</definedName>
    <definedName name="_xlnm.Print_Titles" localSheetId="7">'H. COURSE DATA'!$5:$5</definedName>
    <definedName name="_xlnm._FilterDatabase" localSheetId="8" hidden="1">'I. SECTION DATA'!$A$5:$S$7</definedName>
    <definedName name="_xlnm.Print_Titles" localSheetId="8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<sst xmlns="http://schemas.openxmlformats.org/spreadsheetml/2006/main" uniqueCount="135">
  <si>
    <t>AIS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</si>
  <si>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</si>
  <si>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</si>
  <si>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</si>
  <si>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</si>
  <si>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</si>
  <si>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</si>
  <si>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</si>
  <si>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</si>
  <si>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</si>
  <si>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</si>
  <si>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</si>
  <si>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</si>
  <si>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</si>
  <si>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</si>
  <si>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</si>
  <si>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</si>
  <si>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</si>
  <si>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2014</t>
  </si>
  <si>
    <t>Winter 2015</t>
  </si>
  <si>
    <t>Spring 2015</t>
  </si>
  <si>
    <t>Summer 2015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</si>
  <si>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</si>
  <si>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</si>
  <si>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</si>
  <si>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</si>
  <si>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</si>
  <si>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</si>
  <si>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</si>
  <si>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</si>
  <si>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Totals &amp; Averages:</t>
  </si>
  <si>
    <t>Academic Year</t>
  </si>
  <si>
    <t>2013-2014-2015</t>
  </si>
  <si>
    <t>2014-2015-2016</t>
  </si>
  <si>
    <t>2015-2016-2017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</si>
  <si>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</si>
  <si>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</si>
  <si>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</si>
  <si>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</si>
  <si>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</si>
  <si>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</si>
  <si>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</si>
  <si>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</si>
  <si>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</si>
  <si>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</si>
  <si>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</si>
  <si>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</si>
  <si>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</si>
  <si>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</si>
  <si>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</si>
  <si>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</si>
  <si>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</si>
  <si>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</si>
  <si>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</si>
  <si>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</si>
  <si>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</si>
  <si>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</si>
  <si>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2014-2015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</si>
  <si>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</si>
  <si>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</si>
  <si>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</si>
  <si>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</si>
  <si>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</si>
  <si>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</si>
  <si>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</si>
  <si>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</si>
  <si>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</si>
  <si>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</si>
  <si>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</si>
  <si>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</si>
  <si>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</si>
  <si>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</si>
  <si>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</si>
  <si>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</si>
  <si>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</si>
  <si>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</si>
  <si>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</si>
  <si>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</si>
  <si>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</si>
  <si>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</si>
  <si>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</si>
  <si>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</si>
  <si>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</si>
  <si>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</si>
  <si>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</si>
  <si>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</si>
  <si>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</si>
  <si>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</si>
  <si>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</si>
  <si>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</si>
  <si>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</si>
  <si>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</si>
  <si>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</si>
  <si>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</si>
  <si>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</si>
  <si>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</si>
  <si>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</si>
  <si>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</si>
  <si>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</si>
  <si>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</si>
  <si>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</si>
  <si>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</si>
  <si>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</si>
  <si>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</si>
  <si>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</si>
  <si>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</si>
  <si>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ACADEMIC_YEAR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</si>
  <si>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</si>
  <si>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</si>
  <si>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</si>
  <si>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</si>
  <si>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</si>
  <si>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</si>
  <si>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</si>
  <si>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</si>
  <si>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</si>
  <si>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</si>
  <si>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</si>
  <si>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</si>
  <si>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</si>
  <si>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</si>
  <si>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</si>
  <si>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</si>
  <si>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</si>
  <si>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AIS106</t>
  </si>
  <si>
    <t>day</t>
  </si>
  <si>
    <t>AIS108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</si>
  <si>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</si>
  <si>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</si>
  <si>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</si>
  <si>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</si>
  <si>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</si>
  <si>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</si>
  <si>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</si>
  <si>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Knaak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</si>
</sst>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5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AIS&amp;RPrinted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0</v>
      </c>
      <c r="C6" s="12" t="str">
        <f>IF(E6=0, 0, (D6/E6))</f>
        <v>0</v>
      </c>
      <c r="D6" s="11">
        <v>0</v>
      </c>
      <c r="E6" s="11">
        <v>0</v>
      </c>
      <c r="F6" s="11">
        <v>0</v>
      </c>
      <c r="G6" s="12" t="str">
        <f>IF(I6=0, 0, (H6/I6))</f>
        <v>0</v>
      </c>
      <c r="H6" s="11">
        <v>0</v>
      </c>
      <c r="I6" s="11">
        <v>0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0</v>
      </c>
      <c r="C7" s="13" t="str">
        <f>IF(E7=0, 0, (D7/E7))</f>
        <v>0</v>
      </c>
      <c r="D7" s="10">
        <v>0</v>
      </c>
      <c r="E7" s="10">
        <v>0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1</v>
      </c>
      <c r="C8" s="12" t="str">
        <f>IF(E8=0, 0, (D8/E8))</f>
        <v>0</v>
      </c>
      <c r="D8" s="11">
        <v>9</v>
      </c>
      <c r="E8" s="11">
        <v>40</v>
      </c>
      <c r="F8" s="11">
        <v>0</v>
      </c>
      <c r="G8" s="12" t="str">
        <f>IF(I8=0, 0, (H8/I8))</f>
        <v>0</v>
      </c>
      <c r="H8" s="11">
        <v>0</v>
      </c>
      <c r="I8" s="11">
        <v>0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0</v>
      </c>
      <c r="C9" s="13" t="str">
        <f>IF(E9=0, 0, (D9/E9))</f>
        <v>0</v>
      </c>
      <c r="D9" s="10">
        <v>0</v>
      </c>
      <c r="E9" s="10">
        <v>0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0</v>
      </c>
      <c r="C10" s="12" t="str">
        <f>IF(E10=0, 0, (D10/E10))</f>
        <v>0</v>
      </c>
      <c r="D10" s="11">
        <v>0</v>
      </c>
      <c r="E10" s="11">
        <v>0</v>
      </c>
      <c r="F10" s="11">
        <v>0</v>
      </c>
      <c r="G10" s="12" t="str">
        <f>IF(I10=0, 0, (H10/I10))</f>
        <v>0</v>
      </c>
      <c r="H10" s="11">
        <v>0</v>
      </c>
      <c r="I10" s="11">
        <v>0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0</v>
      </c>
      <c r="C11" s="13" t="str">
        <f>IF(E11=0, 0, (D11/E11))</f>
        <v>0</v>
      </c>
      <c r="D11" s="10">
        <v>0</v>
      </c>
      <c r="E11" s="10">
        <v>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1</v>
      </c>
      <c r="C12" s="12" t="str">
        <f>IF(E12=0, 0, (D12/E12))</f>
        <v>0</v>
      </c>
      <c r="D12" s="11">
        <v>16</v>
      </c>
      <c r="E12" s="11">
        <v>40</v>
      </c>
      <c r="F12" s="11">
        <v>0</v>
      </c>
      <c r="G12" s="12" t="str">
        <f>IF(I12=0, 0, (H12/I12))</f>
        <v>0</v>
      </c>
      <c r="H12" s="11">
        <v>0</v>
      </c>
      <c r="I12" s="11">
        <v>0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0</v>
      </c>
      <c r="C13" s="13" t="str">
        <f>IF(E13=0, 0, (D13/E13))</f>
        <v>0</v>
      </c>
      <c r="D13" s="10">
        <v>0</v>
      </c>
      <c r="E13" s="10">
        <v>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0</v>
      </c>
      <c r="C14" s="12" t="str">
        <f>IF(E14=0, 0, (D14/E14))</f>
        <v>0</v>
      </c>
      <c r="D14" s="11">
        <v>0</v>
      </c>
      <c r="E14" s="11">
        <v>0</v>
      </c>
      <c r="F14" s="11">
        <v>0</v>
      </c>
      <c r="G14" s="12" t="str">
        <f>IF(I14=0, 0, (H14/I14))</f>
        <v>0</v>
      </c>
      <c r="H14" s="11">
        <v>0</v>
      </c>
      <c r="I14" s="11">
        <v>0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0</v>
      </c>
      <c r="C15" s="13" t="str">
        <f>IF(E15=0, 0, (D15/E15))</f>
        <v>0</v>
      </c>
      <c r="D15" s="10">
        <v>0</v>
      </c>
      <c r="E15" s="10">
        <v>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0</v>
      </c>
      <c r="C16" s="12" t="str">
        <f>IF(E16=0, 0, (D16/E16))</f>
        <v>0</v>
      </c>
      <c r="D16" s="11">
        <v>0</v>
      </c>
      <c r="E16" s="11">
        <v>0</v>
      </c>
      <c r="F16" s="11">
        <v>0</v>
      </c>
      <c r="G16" s="12" t="str">
        <f>IF(I16=0, 0, (H16/I16))</f>
        <v>0</v>
      </c>
      <c r="H16" s="11">
        <v>0</v>
      </c>
      <c r="I16" s="11">
        <v>0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0</v>
      </c>
      <c r="C17" s="13" t="str">
        <f>IF(E17=0, 0, (D17/E17))</f>
        <v>0</v>
      </c>
      <c r="D17" s="10">
        <v>0</v>
      </c>
      <c r="E17" s="10">
        <v>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1</v>
      </c>
      <c r="C22" s="12" t="str">
        <f>IF(E22=0, 0, (D22/E22))</f>
        <v>0</v>
      </c>
      <c r="D22" s="11">
        <v>9</v>
      </c>
      <c r="E22" s="11">
        <v>40</v>
      </c>
      <c r="F22" s="11">
        <v>0</v>
      </c>
      <c r="G22" s="12" t="str">
        <f>IF(I22=0, 0, (H22/I22))</f>
        <v>0</v>
      </c>
      <c r="H22" s="11">
        <v>0</v>
      </c>
      <c r="I22" s="11">
        <v>0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1</v>
      </c>
      <c r="C23" s="13" t="str">
        <f>IF(E23=0, 0, (D23/E23))</f>
        <v>0</v>
      </c>
      <c r="D23" s="10">
        <v>16</v>
      </c>
      <c r="E23" s="10">
        <v>40</v>
      </c>
      <c r="F23" s="10">
        <v>0</v>
      </c>
      <c r="G23" s="13" t="str">
        <f>IF(I23=0, 0, (H23/I23))</f>
        <v>0</v>
      </c>
      <c r="H23" s="10">
        <v>0</v>
      </c>
      <c r="I23" s="10">
        <v>0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0</v>
      </c>
      <c r="C24" s="12" t="str">
        <f>IF(E24=0, 0, (D24/E24))</f>
        <v>0</v>
      </c>
      <c r="D24" s="11">
        <v>0</v>
      </c>
      <c r="E24" s="11">
        <v>0</v>
      </c>
      <c r="F24" s="11">
        <v>0</v>
      </c>
      <c r="G24" s="12" t="str">
        <f>IF(I24=0, 0, (H24/I24))</f>
        <v>0</v>
      </c>
      <c r="H24" s="11">
        <v>0</v>
      </c>
      <c r="I24" s="11">
        <v>0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AIS&amp;RPrinted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"=201510")</f>
        <v>0</v>
      </c>
      <c r="C5" s="10" t="str">
        <f>SUMIFS(INDEX(course_data, 0, 17), INDEX(course_data, 0, 3), "=201510")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"=201515")</f>
        <v>0</v>
      </c>
      <c r="C6" s="11" t="str">
        <f>SUMIFS(INDEX(course_data, 0, 17), INDEX(course_data, 0, 3), "=201515")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"=201520")</f>
        <v>0</v>
      </c>
      <c r="C7" s="10" t="str">
        <f>SUMIFS(INDEX(course_data, 0, 17), INDEX(course_data, 0, 3), "=201520")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"=201530")</f>
        <v>0</v>
      </c>
      <c r="C8" s="11" t="str">
        <f>SUMIFS(INDEX(course_data, 0, 17), INDEX(course_data, 0, 3), "=201530")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"=201610")</f>
        <v>0</v>
      </c>
      <c r="C9" s="10" t="str">
        <f>SUMIFS(INDEX(course_data, 0, 17), INDEX(course_data, 0, 3), "=201610")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"=201615")</f>
        <v>0</v>
      </c>
      <c r="C10" s="11" t="str">
        <f>SUMIFS(INDEX(course_data, 0, 17), INDEX(course_data, 0, 3), "=201615")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"=201620")</f>
        <v>0</v>
      </c>
      <c r="C11" s="10" t="str">
        <f>SUMIFS(INDEX(course_data, 0, 17), INDEX(course_data, 0, 3), "=201620")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"=201630")</f>
        <v>0</v>
      </c>
      <c r="C12" s="11" t="str">
        <f>SUMIFS(INDEX(course_data, 0, 17), INDEX(course_data, 0, 3), "=201630")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"=201710")</f>
        <v>0</v>
      </c>
      <c r="C13" s="10" t="str">
        <f>SUMIFS(INDEX(course_data, 0, 17), INDEX(course_data, 0, 3), "=201710")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"=201715")</f>
        <v>0</v>
      </c>
      <c r="C14" s="11" t="str">
        <f>SUMIFS(INDEX(course_data, 0, 17), INDEX(course_data, 0, 3), "=201715")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"=201720")</f>
        <v>0</v>
      </c>
      <c r="C15" s="10" t="str">
        <f>SUMIFS(INDEX(course_data, 0, 17), INDEX(course_data, 0, 3), "=201720")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"=201730")</f>
        <v>0</v>
      </c>
      <c r="C16" s="11" t="str">
        <f>SUMIFS(INDEX(course_data, 0, 17), INDEX(course_data, 0, 3), "=201730")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"=2014-2015")</f>
        <v>0</v>
      </c>
      <c r="C20" s="11" t="str">
        <f>SUMIFS(INDEX(course_data, 0, 17), INDEX(course_data, 0, 1), "=2014-2015")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"=2015-2016")</f>
        <v>0</v>
      </c>
      <c r="C21" s="10" t="str">
        <f>SUMIFS(INDEX(course_data, 0, 17), INDEX(course_data, 0, 1), "=2015-2016")</f>
        <v>0</v>
      </c>
      <c r="D21" s="10" t="str">
        <f>IF(B21=0, 0, ROUND((B21/C21), 2))</f>
        <v>0</v>
      </c>
    </row>
    <row r="22" spans="1:10">
      <c r="A22" s="10" t="s">
        <v>59</v>
      </c>
      <c r="B22" s="11" t="str">
        <f>SUMIFS(INDEX(course_data, 0, 16), INDEX(course_data, 0, 1), "=2016-2017")</f>
        <v>0</v>
      </c>
      <c r="C22" s="11" t="str">
        <f>SUMIFS(INDEX(course_data, 0, 17), INDEX(course_data, 0, 1), "=2016-2017")</f>
        <v>0</v>
      </c>
      <c r="D22" s="11" t="str">
        <f>IF(B22=0, 0, ROUND((B22/C22), 2))</f>
        <v>0</v>
      </c>
    </row>
    <row r="25" spans="1:10">
      <c r="A25" s="19" t="s">
        <v>60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61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62</v>
      </c>
      <c r="B32" s="18"/>
      <c r="C32" s="23" t="s">
        <v>63</v>
      </c>
      <c r="D32"/>
      <c r="E32"/>
      <c r="F32"/>
      <c r="G32"/>
      <c r="H32"/>
      <c r="I32"/>
      <c r="J32"/>
    </row>
    <row r="33" spans="1:10" customHeight="1" ht="30">
      <c r="A33" s="22" t="s">
        <v>64</v>
      </c>
      <c r="B33" s="18"/>
      <c r="C33" s="23" t="s">
        <v>65</v>
      </c>
      <c r="D33"/>
      <c r="E33"/>
      <c r="F33"/>
      <c r="G33"/>
      <c r="H33"/>
      <c r="I33"/>
      <c r="J33"/>
    </row>
    <row r="34" spans="1:10" customHeight="1" ht="30">
      <c r="A34" s="24" t="s">
        <v>66</v>
      </c>
      <c r="B34" s="18"/>
      <c r="C34" s="23" t="s">
        <v>67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AIS&amp;RPrinted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70</v>
      </c>
      <c r="C5" s="9" t="s">
        <v>71</v>
      </c>
      <c r="D5" s="9" t="s">
        <v>72</v>
      </c>
      <c r="E5" s="9" t="s">
        <v>70</v>
      </c>
      <c r="F5" s="9" t="s">
        <v>71</v>
      </c>
      <c r="G5" s="9" t="s">
        <v>72</v>
      </c>
      <c r="H5" s="9" t="s">
        <v>70</v>
      </c>
      <c r="I5" s="9" t="s">
        <v>71</v>
      </c>
      <c r="J5" s="9" t="s">
        <v>72</v>
      </c>
    </row>
    <row r="6" spans="1:10">
      <c r="A6" s="10" t="s">
        <v>18</v>
      </c>
      <c r="B6" s="11" t="str">
        <f>SUMIFS(INDEX(course_data, 0, 10), INDEX(course_data, 0, 3), "=201510", INDEX(course_data, 0, 6), "=day")</f>
        <v>0</v>
      </c>
      <c r="C6" s="12" t="str">
        <f>IF(B6=0, 0, ((SUMIFS(INDEX(course_data, 0, 11), INDEX(course_data, 0, 3), "=201510", INDEX(course_data, 0, 6), "=day"))/B6))</f>
        <v>0</v>
      </c>
      <c r="D6" s="12" t="str">
        <f>IF(B6=0, 0, ((SUMIFS(INDEX(course_data, 0, 13), INDEX(course_data, 0, 3), "=201510", INDEX(course_data, 0, 6), "=day"))/B6))</f>
        <v>0</v>
      </c>
      <c r="E6" s="11" t="str">
        <f>SUMIFS(INDEX(course_data, 0, 10), INDEX(course_data, 0, 3), "=201510", INDEX(course_data, 0, 6), "=ex_day")</f>
        <v>0</v>
      </c>
      <c r="F6" s="12" t="str">
        <f>IF(E6=0, 0, ((SUMIFS(INDEX(course_data, 0, 11), INDEX(course_data, 0, 3), "=201510", INDEX(course_data, 0, 6), "=ex_day"))/E6))</f>
        <v>0</v>
      </c>
      <c r="G6" s="12" t="str">
        <f>IF(E6=0, 0, ((SUMIFS(INDEX(course_data, 0, 13), INDEX(course_data, 0, 3), "=201510", INDEX(course_data, 0, 6), "=ex_day"))/E6))</f>
        <v>0</v>
      </c>
      <c r="H6" s="11" t="str">
        <f>SUMIFS(INDEX(course_data, 0, 10), INDEX(course_data, 0, 3), "=201510", INDEX(course_data, 0, 6), "=online")</f>
        <v>0</v>
      </c>
      <c r="I6" s="12" t="str">
        <f>IF(H6=0, 0, ((SUMIFS(INDEX(course_data, 0, 11), INDEX(course_data, 0, 3), "=201510", INDEX(course_data, 0, 6), "=online"))/H6))</f>
        <v>0</v>
      </c>
      <c r="J6" s="12" t="str">
        <f>IF(H6=0, 0, ((SUMIFS(INDEX(course_data, 0, 13), INDEX(course_data, 0, 3), "=201510",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"=201515", INDEX(course_data, 0, 6), "=day")</f>
        <v>0</v>
      </c>
      <c r="C7" s="13" t="str">
        <f>IF(B7=0, 0, ((SUMIFS(INDEX(course_data, 0, 11), INDEX(course_data, 0, 3), "=201515", INDEX(course_data, 0, 6), "=day"))/B7))</f>
        <v>0</v>
      </c>
      <c r="D7" s="13" t="str">
        <f>IF(B7=0, 0, ((SUMIFS(INDEX(course_data, 0, 13), INDEX(course_data, 0, 3), "=201515", INDEX(course_data, 0, 6), "=day"))/B7))</f>
        <v>0</v>
      </c>
      <c r="E7" s="10" t="str">
        <f>SUMIFS(INDEX(course_data, 0, 10), INDEX(course_data, 0, 3), "=201515", INDEX(course_data, 0, 6), "=ex_day")</f>
        <v>0</v>
      </c>
      <c r="F7" s="13" t="str">
        <f>IF(E7=0, 0, ((SUMIFS(INDEX(course_data, 0, 11), INDEX(course_data, 0, 3), "=201515", INDEX(course_data, 0, 6), "=ex_day"))/E7))</f>
        <v>0</v>
      </c>
      <c r="G7" s="13" t="str">
        <f>IF(E7=0, 0, ((SUMIFS(INDEX(course_data, 0, 13), INDEX(course_data, 0, 3), "=201515", INDEX(course_data, 0, 6), "=ex_day"))/E7))</f>
        <v>0</v>
      </c>
      <c r="H7" s="10" t="str">
        <f>SUMIFS(INDEX(course_data, 0, 10), INDEX(course_data, 0, 3), "=201515", INDEX(course_data, 0, 6), "=online")</f>
        <v>0</v>
      </c>
      <c r="I7" s="13" t="str">
        <f>IF(H7=0, 0, ((SUMIFS(INDEX(course_data, 0, 11), INDEX(course_data, 0, 3), "=201515", INDEX(course_data, 0, 6), "=online"))/H7))</f>
        <v>0</v>
      </c>
      <c r="J7" s="13" t="str">
        <f>IF(H7=0, 0, ((SUMIFS(INDEX(course_data, 0, 13), INDEX(course_data, 0, 3), "=201515",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"=201520", INDEX(course_data, 0, 6), "=day")</f>
        <v>0</v>
      </c>
      <c r="C8" s="12" t="str">
        <f>IF(B8=0, 0, ((SUMIFS(INDEX(course_data, 0, 11), INDEX(course_data, 0, 3), "=201520", INDEX(course_data, 0, 6), "=day"))/B8))</f>
        <v>0</v>
      </c>
      <c r="D8" s="12" t="str">
        <f>IF(B8=0, 0, ((SUMIFS(INDEX(course_data, 0, 13), INDEX(course_data, 0, 3), "=201520", INDEX(course_data, 0, 6), "=day"))/B8))</f>
        <v>0</v>
      </c>
      <c r="E8" s="11" t="str">
        <f>SUMIFS(INDEX(course_data, 0, 10), INDEX(course_data, 0, 3), "=201520", INDEX(course_data, 0, 6), "=ex_day")</f>
        <v>0</v>
      </c>
      <c r="F8" s="12" t="str">
        <f>IF(E8=0, 0, ((SUMIFS(INDEX(course_data, 0, 11), INDEX(course_data, 0, 3), "=201520", INDEX(course_data, 0, 6), "=ex_day"))/E8))</f>
        <v>0</v>
      </c>
      <c r="G8" s="12" t="str">
        <f>IF(E8=0, 0, ((SUMIFS(INDEX(course_data, 0, 13), INDEX(course_data, 0, 3), "=201520", INDEX(course_data, 0, 6), "=ex_day"))/E8))</f>
        <v>0</v>
      </c>
      <c r="H8" s="11" t="str">
        <f>SUMIFS(INDEX(course_data, 0, 10), INDEX(course_data, 0, 3), "=201520", INDEX(course_data, 0, 6), "=online")</f>
        <v>0</v>
      </c>
      <c r="I8" s="12" t="str">
        <f>IF(H8=0, 0, ((SUMIFS(INDEX(course_data, 0, 11), INDEX(course_data, 0, 3), "=201520", INDEX(course_data, 0, 6), "=online"))/H8))</f>
        <v>0</v>
      </c>
      <c r="J8" s="12" t="str">
        <f>IF(H8=0, 0, ((SUMIFS(INDEX(course_data, 0, 13), INDEX(course_data, 0, 3), "=201520",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"=201530", INDEX(course_data, 0, 6), "=day")</f>
        <v>0</v>
      </c>
      <c r="C9" s="13" t="str">
        <f>IF(B9=0, 0, ((SUMIFS(INDEX(course_data, 0, 11), INDEX(course_data, 0, 3), "=201530", INDEX(course_data, 0, 6), "=day"))/B9))</f>
        <v>0</v>
      </c>
      <c r="D9" s="13" t="str">
        <f>IF(B9=0, 0, ((SUMIFS(INDEX(course_data, 0, 13), INDEX(course_data, 0, 3), "=201530", INDEX(course_data, 0, 6), "=day"))/B9))</f>
        <v>0</v>
      </c>
      <c r="E9" s="10" t="str">
        <f>SUMIFS(INDEX(course_data, 0, 10), INDEX(course_data, 0, 3), "=201530", INDEX(course_data, 0, 6), "=ex_day")</f>
        <v>0</v>
      </c>
      <c r="F9" s="13" t="str">
        <f>IF(E9=0, 0, ((SUMIFS(INDEX(course_data, 0, 11), INDEX(course_data, 0, 3), "=201530", INDEX(course_data, 0, 6), "=ex_day"))/E9))</f>
        <v>0</v>
      </c>
      <c r="G9" s="13" t="str">
        <f>IF(E9=0, 0, ((SUMIFS(INDEX(course_data, 0, 13), INDEX(course_data, 0, 3), "=201530", INDEX(course_data, 0, 6), "=ex_day"))/E9))</f>
        <v>0</v>
      </c>
      <c r="H9" s="10" t="str">
        <f>SUMIFS(INDEX(course_data, 0, 10), INDEX(course_data, 0, 3), "=201530", INDEX(course_data, 0, 6), "=online")</f>
        <v>0</v>
      </c>
      <c r="I9" s="13" t="str">
        <f>IF(H9=0, 0, ((SUMIFS(INDEX(course_data, 0, 11), INDEX(course_data, 0, 3), "=201530", INDEX(course_data, 0, 6), "=online"))/H9))</f>
        <v>0</v>
      </c>
      <c r="J9" s="13" t="str">
        <f>IF(H9=0, 0, ((SUMIFS(INDEX(course_data, 0, 13), INDEX(course_data, 0, 3), "=201530",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"=201610", INDEX(course_data, 0, 6), "=day")</f>
        <v>0</v>
      </c>
      <c r="C10" s="12" t="str">
        <f>IF(B10=0, 0, ((SUMIFS(INDEX(course_data, 0, 11), INDEX(course_data, 0, 3), "=201610", INDEX(course_data, 0, 6), "=day"))/B10))</f>
        <v>0</v>
      </c>
      <c r="D10" s="12" t="str">
        <f>IF(B10=0, 0, ((SUMIFS(INDEX(course_data, 0, 13), INDEX(course_data, 0, 3), "=201610", INDEX(course_data, 0, 6), "=day"))/B10))</f>
        <v>0</v>
      </c>
      <c r="E10" s="11" t="str">
        <f>SUMIFS(INDEX(course_data, 0, 10), INDEX(course_data, 0, 3), "=201610", INDEX(course_data, 0, 6), "=ex_day")</f>
        <v>0</v>
      </c>
      <c r="F10" s="12" t="str">
        <f>IF(E10=0, 0, ((SUMIFS(INDEX(course_data, 0, 11), INDEX(course_data, 0, 3), "=201610", INDEX(course_data, 0, 6), "=ex_day"))/E10))</f>
        <v>0</v>
      </c>
      <c r="G10" s="12" t="str">
        <f>IF(E10=0, 0, ((SUMIFS(INDEX(course_data, 0, 13), INDEX(course_data, 0, 3), "=201610", INDEX(course_data, 0, 6), "=ex_day"))/E10))</f>
        <v>0</v>
      </c>
      <c r="H10" s="11" t="str">
        <f>SUMIFS(INDEX(course_data, 0, 10), INDEX(course_data, 0, 3), "=201610", INDEX(course_data, 0, 6), "=online")</f>
        <v>0</v>
      </c>
      <c r="I10" s="12" t="str">
        <f>IF(H10=0, 0, ((SUMIFS(INDEX(course_data, 0, 11), INDEX(course_data, 0, 3), "=201610", INDEX(course_data, 0, 6), "=online"))/H10))</f>
        <v>0</v>
      </c>
      <c r="J10" s="12" t="str">
        <f>IF(H10=0, 0, ((SUMIFS(INDEX(course_data, 0, 13), INDEX(course_data, 0, 3), "=201610",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"=201615", INDEX(course_data, 0, 6), "=day")</f>
        <v>0</v>
      </c>
      <c r="C11" s="13" t="str">
        <f>IF(B11=0, 0, ((SUMIFS(INDEX(course_data, 0, 11), INDEX(course_data, 0, 3), "=201615", INDEX(course_data, 0, 6), "=day"))/B11))</f>
        <v>0</v>
      </c>
      <c r="D11" s="13" t="str">
        <f>IF(B11=0, 0, ((SUMIFS(INDEX(course_data, 0, 13), INDEX(course_data, 0, 3), "=201615", INDEX(course_data, 0, 6), "=day"))/B11))</f>
        <v>0</v>
      </c>
      <c r="E11" s="10" t="str">
        <f>SUMIFS(INDEX(course_data, 0, 10), INDEX(course_data, 0, 3), "=201615", INDEX(course_data, 0, 6), "=ex_day")</f>
        <v>0</v>
      </c>
      <c r="F11" s="13" t="str">
        <f>IF(E11=0, 0, ((SUMIFS(INDEX(course_data, 0, 11), INDEX(course_data, 0, 3), "=201615", INDEX(course_data, 0, 6), "=ex_day"))/E11))</f>
        <v>0</v>
      </c>
      <c r="G11" s="13" t="str">
        <f>IF(E11=0, 0, ((SUMIFS(INDEX(course_data, 0, 13), INDEX(course_data, 0, 3), "=201615", INDEX(course_data, 0, 6), "=ex_day"))/E11))</f>
        <v>0</v>
      </c>
      <c r="H11" s="10" t="str">
        <f>SUMIFS(INDEX(course_data, 0, 10), INDEX(course_data, 0, 3), "=201615", INDEX(course_data, 0, 6), "=online")</f>
        <v>0</v>
      </c>
      <c r="I11" s="13" t="str">
        <f>IF(H11=0, 0, ((SUMIFS(INDEX(course_data, 0, 11), INDEX(course_data, 0, 3), "=201615", INDEX(course_data, 0, 6), "=online"))/H11))</f>
        <v>0</v>
      </c>
      <c r="J11" s="13" t="str">
        <f>IF(H11=0, 0, ((SUMIFS(INDEX(course_data, 0, 13), INDEX(course_data, 0, 3), "=201615",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"=201620", INDEX(course_data, 0, 6), "=day")</f>
        <v>0</v>
      </c>
      <c r="C12" s="12" t="str">
        <f>IF(B12=0, 0, ((SUMIFS(INDEX(course_data, 0, 11), INDEX(course_data, 0, 3), "=201620", INDEX(course_data, 0, 6), "=day"))/B12))</f>
        <v>0</v>
      </c>
      <c r="D12" s="12" t="str">
        <f>IF(B12=0, 0, ((SUMIFS(INDEX(course_data, 0, 13), INDEX(course_data, 0, 3), "=201620", INDEX(course_data, 0, 6), "=day"))/B12))</f>
        <v>0</v>
      </c>
      <c r="E12" s="11" t="str">
        <f>SUMIFS(INDEX(course_data, 0, 10), INDEX(course_data, 0, 3), "=201620", INDEX(course_data, 0, 6), "=ex_day")</f>
        <v>0</v>
      </c>
      <c r="F12" s="12" t="str">
        <f>IF(E12=0, 0, ((SUMIFS(INDEX(course_data, 0, 11), INDEX(course_data, 0, 3), "=201620", INDEX(course_data, 0, 6), "=ex_day"))/E12))</f>
        <v>0</v>
      </c>
      <c r="G12" s="12" t="str">
        <f>IF(E12=0, 0, ((SUMIFS(INDEX(course_data, 0, 13), INDEX(course_data, 0, 3), "=201620", INDEX(course_data, 0, 6), "=ex_day"))/E12))</f>
        <v>0</v>
      </c>
      <c r="H12" s="11" t="str">
        <f>SUMIFS(INDEX(course_data, 0, 10), INDEX(course_data, 0, 3), "=201620", INDEX(course_data, 0, 6), "=online")</f>
        <v>0</v>
      </c>
      <c r="I12" s="12" t="str">
        <f>IF(H12=0, 0, ((SUMIFS(INDEX(course_data, 0, 11), INDEX(course_data, 0, 3), "=201620", INDEX(course_data, 0, 6), "=online"))/H12))</f>
        <v>0</v>
      </c>
      <c r="J12" s="12" t="str">
        <f>IF(H12=0, 0, ((SUMIFS(INDEX(course_data, 0, 13), INDEX(course_data, 0, 3), "=201620",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"=201630", INDEX(course_data, 0, 6), "=day")</f>
        <v>0</v>
      </c>
      <c r="C13" s="13" t="str">
        <f>IF(B13=0, 0, ((SUMIFS(INDEX(course_data, 0, 11), INDEX(course_data, 0, 3), "=201630", INDEX(course_data, 0, 6), "=day"))/B13))</f>
        <v>0</v>
      </c>
      <c r="D13" s="13" t="str">
        <f>IF(B13=0, 0, ((SUMIFS(INDEX(course_data, 0, 13), INDEX(course_data, 0, 3), "=201630", INDEX(course_data, 0, 6), "=day"))/B13))</f>
        <v>0</v>
      </c>
      <c r="E13" s="10" t="str">
        <f>SUMIFS(INDEX(course_data, 0, 10), INDEX(course_data, 0, 3), "=201630", INDEX(course_data, 0, 6), "=ex_day")</f>
        <v>0</v>
      </c>
      <c r="F13" s="13" t="str">
        <f>IF(E13=0, 0, ((SUMIFS(INDEX(course_data, 0, 11), INDEX(course_data, 0, 3), "=201630", INDEX(course_data, 0, 6), "=ex_day"))/E13))</f>
        <v>0</v>
      </c>
      <c r="G13" s="13" t="str">
        <f>IF(E13=0, 0, ((SUMIFS(INDEX(course_data, 0, 13), INDEX(course_data, 0, 3), "=201630", INDEX(course_data, 0, 6), "=ex_day"))/E13))</f>
        <v>0</v>
      </c>
      <c r="H13" s="10" t="str">
        <f>SUMIFS(INDEX(course_data, 0, 10), INDEX(course_data, 0, 3), "=201630", INDEX(course_data, 0, 6), "=online")</f>
        <v>0</v>
      </c>
      <c r="I13" s="13" t="str">
        <f>IF(H13=0, 0, ((SUMIFS(INDEX(course_data, 0, 11), INDEX(course_data, 0, 3), "=201630", INDEX(course_data, 0, 6), "=online"))/H13))</f>
        <v>0</v>
      </c>
      <c r="J13" s="13" t="str">
        <f>IF(H13=0, 0, ((SUMIFS(INDEX(course_data, 0, 13), INDEX(course_data, 0, 3), "=201630",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"=201710", INDEX(course_data, 0, 6), "=day")</f>
        <v>0</v>
      </c>
      <c r="C14" s="12" t="str">
        <f>IF(B14=0, 0, ((SUMIFS(INDEX(course_data, 0, 11), INDEX(course_data, 0, 3), "=201710", INDEX(course_data, 0, 6), "=day"))/B14))</f>
        <v>0</v>
      </c>
      <c r="D14" s="12" t="str">
        <f>IF(B14=0, 0, ((SUMIFS(INDEX(course_data, 0, 13), INDEX(course_data, 0, 3), "=201710", INDEX(course_data, 0, 6), "=day"))/B14))</f>
        <v>0</v>
      </c>
      <c r="E14" s="11" t="str">
        <f>SUMIFS(INDEX(course_data, 0, 10), INDEX(course_data, 0, 3), "=201710", INDEX(course_data, 0, 6), "=ex_day")</f>
        <v>0</v>
      </c>
      <c r="F14" s="12" t="str">
        <f>IF(E14=0, 0, ((SUMIFS(INDEX(course_data, 0, 11), INDEX(course_data, 0, 3), "=201710", INDEX(course_data, 0, 6), "=ex_day"))/E14))</f>
        <v>0</v>
      </c>
      <c r="G14" s="12" t="str">
        <f>IF(E14=0, 0, ((SUMIFS(INDEX(course_data, 0, 13), INDEX(course_data, 0, 3), "=201710", INDEX(course_data, 0, 6), "=ex_day"))/E14))</f>
        <v>0</v>
      </c>
      <c r="H14" s="11" t="str">
        <f>SUMIFS(INDEX(course_data, 0, 10), INDEX(course_data, 0, 3), "=201710", INDEX(course_data, 0, 6), "=online")</f>
        <v>0</v>
      </c>
      <c r="I14" s="12" t="str">
        <f>IF(H14=0, 0, ((SUMIFS(INDEX(course_data, 0, 11), INDEX(course_data, 0, 3), "=201710", INDEX(course_data, 0, 6), "=online"))/H14))</f>
        <v>0</v>
      </c>
      <c r="J14" s="12" t="str">
        <f>IF(H14=0, 0, ((SUMIFS(INDEX(course_data, 0, 13), INDEX(course_data, 0, 3), "=201710",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"=201715", INDEX(course_data, 0, 6), "=day")</f>
        <v>0</v>
      </c>
      <c r="C15" s="13" t="str">
        <f>IF(B15=0, 0, ((SUMIFS(INDEX(course_data, 0, 11), INDEX(course_data, 0, 3), "=201715", INDEX(course_data, 0, 6), "=day"))/B15))</f>
        <v>0</v>
      </c>
      <c r="D15" s="13" t="str">
        <f>IF(B15=0, 0, ((SUMIFS(INDEX(course_data, 0, 13), INDEX(course_data, 0, 3), "=201715", INDEX(course_data, 0, 6), "=day"))/B15))</f>
        <v>0</v>
      </c>
      <c r="E15" s="10" t="str">
        <f>SUMIFS(INDEX(course_data, 0, 10), INDEX(course_data, 0, 3), "=201715", INDEX(course_data, 0, 6), "=ex_day")</f>
        <v>0</v>
      </c>
      <c r="F15" s="13" t="str">
        <f>IF(E15=0, 0, ((SUMIFS(INDEX(course_data, 0, 11), INDEX(course_data, 0, 3), "=201715", INDEX(course_data, 0, 6), "=ex_day"))/E15))</f>
        <v>0</v>
      </c>
      <c r="G15" s="13" t="str">
        <f>IF(E15=0, 0, ((SUMIFS(INDEX(course_data, 0, 13), INDEX(course_data, 0, 3), "=201715", INDEX(course_data, 0, 6), "=ex_day"))/E15))</f>
        <v>0</v>
      </c>
      <c r="H15" s="10" t="str">
        <f>SUMIFS(INDEX(course_data, 0, 10), INDEX(course_data, 0, 3), "=201715", INDEX(course_data, 0, 6), "=online")</f>
        <v>0</v>
      </c>
      <c r="I15" s="13" t="str">
        <f>IF(H15=0, 0, ((SUMIFS(INDEX(course_data, 0, 11), INDEX(course_data, 0, 3), "=201715", INDEX(course_data, 0, 6), "=online"))/H15))</f>
        <v>0</v>
      </c>
      <c r="J15" s="13" t="str">
        <f>IF(H15=0, 0, ((SUMIFS(INDEX(course_data, 0, 13), INDEX(course_data, 0, 3), "=201715",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"=201720", INDEX(course_data, 0, 6), "=day")</f>
        <v>0</v>
      </c>
      <c r="C16" s="12" t="str">
        <f>IF(B16=0, 0, ((SUMIFS(INDEX(course_data, 0, 11), INDEX(course_data, 0, 3), "=201720", INDEX(course_data, 0, 6), "=day"))/B16))</f>
        <v>0</v>
      </c>
      <c r="D16" s="12" t="str">
        <f>IF(B16=0, 0, ((SUMIFS(INDEX(course_data, 0, 13), INDEX(course_data, 0, 3), "=201720", INDEX(course_data, 0, 6), "=day"))/B16))</f>
        <v>0</v>
      </c>
      <c r="E16" s="11" t="str">
        <f>SUMIFS(INDEX(course_data, 0, 10), INDEX(course_data, 0, 3), "=201720", INDEX(course_data, 0, 6), "=ex_day")</f>
        <v>0</v>
      </c>
      <c r="F16" s="12" t="str">
        <f>IF(E16=0, 0, ((SUMIFS(INDEX(course_data, 0, 11), INDEX(course_data, 0, 3), "=201720", INDEX(course_data, 0, 6), "=ex_day"))/E16))</f>
        <v>0</v>
      </c>
      <c r="G16" s="12" t="str">
        <f>IF(E16=0, 0, ((SUMIFS(INDEX(course_data, 0, 13), INDEX(course_data, 0, 3), "=201720", INDEX(course_data, 0, 6), "=ex_day"))/E16))</f>
        <v>0</v>
      </c>
      <c r="H16" s="11" t="str">
        <f>SUMIFS(INDEX(course_data, 0, 10), INDEX(course_data, 0, 3), "=201720", INDEX(course_data, 0, 6), "=online")</f>
        <v>0</v>
      </c>
      <c r="I16" s="12" t="str">
        <f>IF(H16=0, 0, ((SUMIFS(INDEX(course_data, 0, 11), INDEX(course_data, 0, 3), "=201720", INDEX(course_data, 0, 6), "=online"))/H16))</f>
        <v>0</v>
      </c>
      <c r="J16" s="12" t="str">
        <f>IF(H16=0, 0, ((SUMIFS(INDEX(course_data, 0, 13), INDEX(course_data, 0, 3), "=201720",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"=201730", INDEX(course_data, 0, 6), "=day")</f>
        <v>0</v>
      </c>
      <c r="C17" s="13" t="str">
        <f>IF(B17=0, 0, ((SUMIFS(INDEX(course_data, 0, 11), INDEX(course_data, 0, 3), "=201730", INDEX(course_data, 0, 6), "=day"))/B17))</f>
        <v>0</v>
      </c>
      <c r="D17" s="13" t="str">
        <f>IF(B17=0, 0, ((SUMIFS(INDEX(course_data, 0, 13), INDEX(course_data, 0, 3), "=201730", INDEX(course_data, 0, 6), "=day"))/B17))</f>
        <v>0</v>
      </c>
      <c r="E17" s="10" t="str">
        <f>SUMIFS(INDEX(course_data, 0, 10), INDEX(course_data, 0, 3), "=201730", INDEX(course_data, 0, 6), "=ex_day")</f>
        <v>0</v>
      </c>
      <c r="F17" s="13" t="str">
        <f>IF(E17=0, 0, ((SUMIFS(INDEX(course_data, 0, 11), INDEX(course_data, 0, 3), "=201730", INDEX(course_data, 0, 6), "=ex_day"))/E17))</f>
        <v>0</v>
      </c>
      <c r="G17" s="13" t="str">
        <f>IF(E17=0, 0, ((SUMIFS(INDEX(course_data, 0, 13), INDEX(course_data, 0, 3), "=201730", INDEX(course_data, 0, 6), "=ex_day"))/E17))</f>
        <v>0</v>
      </c>
      <c r="H17" s="10" t="str">
        <f>SUMIFS(INDEX(course_data, 0, 10), INDEX(course_data, 0, 3), "=201730", INDEX(course_data, 0, 6), "=online")</f>
        <v>0</v>
      </c>
      <c r="I17" s="13" t="str">
        <f>IF(H17=0, 0, ((SUMIFS(INDEX(course_data, 0, 11), INDEX(course_data, 0, 3), "=201730", INDEX(course_data, 0, 6), "=online"))/H17))</f>
        <v>0</v>
      </c>
      <c r="J17" s="13" t="str">
        <f>IF(H17=0, 0, ((SUMIFS(INDEX(course_data, 0, 13), INDEX(course_data, 0, 3), "=201730",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70</v>
      </c>
      <c r="C21" s="9" t="s">
        <v>71</v>
      </c>
      <c r="D21" s="9" t="s">
        <v>72</v>
      </c>
      <c r="E21" s="9" t="s">
        <v>70</v>
      </c>
      <c r="F21" s="9" t="s">
        <v>71</v>
      </c>
      <c r="G21" s="9" t="s">
        <v>72</v>
      </c>
      <c r="H21" s="9" t="s">
        <v>70</v>
      </c>
      <c r="I21" s="9" t="s">
        <v>71</v>
      </c>
      <c r="J21" s="9" t="s">
        <v>72</v>
      </c>
    </row>
    <row r="22" spans="1:10">
      <c r="A22" s="10" t="s">
        <v>57</v>
      </c>
      <c r="B22" s="11" t="str">
        <f>SUMIFS(INDEX(course_data, 0, 10), INDEX(course_data, 0, 1), "=2014-2015", INDEX(course_data, 0, 6), "=day")</f>
        <v>0</v>
      </c>
      <c r="C22" s="12" t="str">
        <f>IF(B22=0, 0, ((SUMIFS(INDEX(course_data, 0, 11), INDEX(course_data, 0, 1), "=2014-2015", INDEX(course_data, 0, 6), "=day"))/B22))</f>
        <v>0</v>
      </c>
      <c r="D22" s="12" t="str">
        <f>IF(B22=0, 0, ((SUMIFS(INDEX(course_data, 0, 13), INDEX(course_data, 0, 1), "=2014-2015", INDEX(course_data, 0, 6), "=day"))/B22))</f>
        <v>0</v>
      </c>
      <c r="E22" s="11" t="str">
        <f>SUMIFS(INDEX(course_data, 0, 10), INDEX(course_data, 0, 1), "=2014-2015", INDEX(course_data, 0, 6), "=ex_day")</f>
        <v>0</v>
      </c>
      <c r="F22" s="12" t="str">
        <f>IF(E22=0, 0, ((SUMIFS(INDEX(course_data, 0, 11), INDEX(course_data, 0, 1), "=2014-2015", INDEX(course_data, 0, 6), "=ex_day"))/E22))</f>
        <v>0</v>
      </c>
      <c r="G22" s="12" t="str">
        <f>IF(E22=0, 0, ((SUMIFS(INDEX(course_data, 0, 13), INDEX(course_data, 0, 1), "=2014-2015", INDEX(course_data, 0, 6), "=ex_day"))/E22))</f>
        <v>0</v>
      </c>
      <c r="H22" s="11" t="str">
        <f>SUMIFS(INDEX(course_data, 0, 10), INDEX(course_data, 0, 1), "=2014-2015", INDEX(course_data, 0, 6), "=online")</f>
        <v>0</v>
      </c>
      <c r="I22" s="12" t="str">
        <f>IF(H22=0, 0, ((SUMIFS(INDEX(course_data, 0, 11), INDEX(course_data, 0, 1), "=2014-2015", INDEX(course_data, 0, 6), "=online"))/H22))</f>
        <v>0</v>
      </c>
      <c r="J22" s="12" t="str">
        <f>IF(H22=0, 0, ((SUMIFS(INDEX(course_data, 0, 13), INDEX(course_data, 0, 1), "=2014-2015",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"=2015-2016", INDEX(course_data, 0, 6), "=day")</f>
        <v>0</v>
      </c>
      <c r="C23" s="13" t="str">
        <f>IF(B23=0, 0, ((SUMIFS(INDEX(course_data, 0, 11), INDEX(course_data, 0, 1), "=2015-2016", INDEX(course_data, 0, 6), "=day"))/B23))</f>
        <v>0</v>
      </c>
      <c r="D23" s="13" t="str">
        <f>IF(B23=0, 0, ((SUMIFS(INDEX(course_data, 0, 13), INDEX(course_data, 0, 1), "=2015-2016", INDEX(course_data, 0, 6), "=day"))/B23))</f>
        <v>0</v>
      </c>
      <c r="E23" s="10" t="str">
        <f>SUMIFS(INDEX(course_data, 0, 10), INDEX(course_data, 0, 1), "=2015-2016", INDEX(course_data, 0, 6), "=ex_day")</f>
        <v>0</v>
      </c>
      <c r="F23" s="13" t="str">
        <f>IF(E23=0, 0, ((SUMIFS(INDEX(course_data, 0, 11), INDEX(course_data, 0, 1), "=2015-2016", INDEX(course_data, 0, 6), "=ex_day"))/E23))</f>
        <v>0</v>
      </c>
      <c r="G23" s="13" t="str">
        <f>IF(E23=0, 0, ((SUMIFS(INDEX(course_data, 0, 13), INDEX(course_data, 0, 1), "=2015-2016", INDEX(course_data, 0, 6), "=ex_day"))/E23))</f>
        <v>0</v>
      </c>
      <c r="H23" s="10" t="str">
        <f>SUMIFS(INDEX(course_data, 0, 10), INDEX(course_data, 0, 1), "=2015-2016", INDEX(course_data, 0, 6), "=online")</f>
        <v>0</v>
      </c>
      <c r="I23" s="13" t="str">
        <f>IF(H23=0, 0, ((SUMIFS(INDEX(course_data, 0, 11), INDEX(course_data, 0, 1), "=2015-2016", INDEX(course_data, 0, 6), "=online"))/H23))</f>
        <v>0</v>
      </c>
      <c r="J23" s="13" t="str">
        <f>IF(H23=0, 0, ((SUMIFS(INDEX(course_data, 0, 13), INDEX(course_data, 0, 1), "=2015-2016", INDEX(course_data, 0, 6), "=online"))/H23))</f>
        <v>0</v>
      </c>
    </row>
    <row r="24" spans="1:10">
      <c r="A24" s="10" t="s">
        <v>59</v>
      </c>
      <c r="B24" s="11" t="str">
        <f>SUMIFS(INDEX(course_data, 0, 10), INDEX(course_data, 0, 1), "=2016-2017", INDEX(course_data, 0, 6), "=day")</f>
        <v>0</v>
      </c>
      <c r="C24" s="12" t="str">
        <f>IF(B24=0, 0, ((SUMIFS(INDEX(course_data, 0, 11), INDEX(course_data, 0, 1), "=2016-2017", INDEX(course_data, 0, 6), "=day"))/B24))</f>
        <v>0</v>
      </c>
      <c r="D24" s="12" t="str">
        <f>IF(B24=0, 0, ((SUMIFS(INDEX(course_data, 0, 13), INDEX(course_data, 0, 1), "=2016-2017", INDEX(course_data, 0, 6), "=day"))/B24))</f>
        <v>0</v>
      </c>
      <c r="E24" s="11" t="str">
        <f>SUMIFS(INDEX(course_data, 0, 10), INDEX(course_data, 0, 1), "=2016-2017", INDEX(course_data, 0, 6), "=ex_day")</f>
        <v>0</v>
      </c>
      <c r="F24" s="12" t="str">
        <f>IF(E24=0, 0, ((SUMIFS(INDEX(course_data, 0, 11), INDEX(course_data, 0, 1), "=2016-2017", INDEX(course_data, 0, 6), "=ex_day"))/E24))</f>
        <v>0</v>
      </c>
      <c r="G24" s="12" t="str">
        <f>IF(E24=0, 0, ((SUMIFS(INDEX(course_data, 0, 13), INDEX(course_data, 0, 1), "=2016-2017", INDEX(course_data, 0, 6), "=ex_day"))/E24))</f>
        <v>0</v>
      </c>
      <c r="H24" s="11" t="str">
        <f>SUMIFS(INDEX(course_data, 0, 10), INDEX(course_data, 0, 1), "=2016-2017", INDEX(course_data, 0, 6), "=online")</f>
        <v>0</v>
      </c>
      <c r="I24" s="12" t="str">
        <f>IF(H24=0, 0, ((SUMIFS(INDEX(course_data, 0, 11), INDEX(course_data, 0, 1), "=2016-2017", INDEX(course_data, 0, 6), "=online"))/H24))</f>
        <v>0</v>
      </c>
      <c r="J24" s="12" t="str">
        <f>IF(H24=0, 0, ((SUMIFS(INDEX(course_data, 0, 13), INDEX(course_data, 0, 1), "=2016-2017",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73</v>
      </c>
      <c r="B35" s="18"/>
      <c r="C35" t="s">
        <v>74</v>
      </c>
      <c r="D35"/>
      <c r="E35"/>
      <c r="F35"/>
      <c r="G35"/>
      <c r="H35"/>
      <c r="I35"/>
      <c r="J35"/>
    </row>
    <row r="36" spans="1:10">
      <c r="A36" s="17" t="s">
        <v>75</v>
      </c>
      <c r="B36" s="18"/>
      <c r="C36" t="s">
        <v>76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AIS&amp;RPrinted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79</v>
      </c>
      <c r="C4" s="9"/>
      <c r="D4" s="9"/>
      <c r="E4" s="9" t="s">
        <v>80</v>
      </c>
      <c r="F4" s="9"/>
      <c r="G4" s="9"/>
      <c r="H4" s="9" t="s">
        <v>81</v>
      </c>
      <c r="I4" s="9"/>
      <c r="J4" s="9"/>
      <c r="K4" s="9" t="s">
        <v>82</v>
      </c>
      <c r="L4" s="9"/>
      <c r="M4" s="9"/>
      <c r="N4" s="9" t="s">
        <v>83</v>
      </c>
      <c r="O4" s="9"/>
      <c r="P4" s="9"/>
    </row>
    <row r="5" spans="1:16">
      <c r="A5" s="9" t="s">
        <v>13</v>
      </c>
      <c r="B5" s="9" t="s">
        <v>84</v>
      </c>
      <c r="C5" s="9" t="s">
        <v>85</v>
      </c>
      <c r="D5" s="9" t="s">
        <v>86</v>
      </c>
      <c r="E5" s="9" t="s">
        <v>84</v>
      </c>
      <c r="F5" s="9" t="s">
        <v>85</v>
      </c>
      <c r="G5" s="9" t="s">
        <v>86</v>
      </c>
      <c r="H5" s="9" t="s">
        <v>84</v>
      </c>
      <c r="I5" s="9" t="s">
        <v>85</v>
      </c>
      <c r="J5" s="9" t="s">
        <v>86</v>
      </c>
      <c r="K5" s="9" t="s">
        <v>84</v>
      </c>
      <c r="L5" s="9" t="s">
        <v>85</v>
      </c>
      <c r="M5" s="9" t="s">
        <v>86</v>
      </c>
      <c r="N5" s="9" t="s">
        <v>84</v>
      </c>
      <c r="O5" s="9" t="s">
        <v>85</v>
      </c>
      <c r="P5" s="9" t="s">
        <v>86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0</v>
      </c>
      <c r="F6" s="12">
        <v>0</v>
      </c>
      <c r="G6" s="12">
        <v>0</v>
      </c>
      <c r="H6" s="11">
        <v>0</v>
      </c>
      <c r="I6" s="12">
        <v>0</v>
      </c>
      <c r="J6" s="12">
        <v>0</v>
      </c>
      <c r="K6" s="11">
        <v>0</v>
      </c>
      <c r="L6" s="12">
        <v>0</v>
      </c>
      <c r="M6" s="12">
        <v>0</v>
      </c>
      <c r="N6" s="11">
        <v>0</v>
      </c>
      <c r="O6" s="12">
        <v>0</v>
      </c>
      <c r="P6" s="12">
        <v>0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5</v>
      </c>
      <c r="F8" s="12">
        <v>0.6</v>
      </c>
      <c r="G8" s="12">
        <v>0.8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4</v>
      </c>
      <c r="O8" s="12">
        <v>0.25</v>
      </c>
      <c r="P8" s="12">
        <v>0.5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0</v>
      </c>
      <c r="F10" s="12">
        <v>0</v>
      </c>
      <c r="G10" s="12">
        <v>0</v>
      </c>
      <c r="H10" s="11">
        <v>0</v>
      </c>
      <c r="I10" s="12">
        <v>0</v>
      </c>
      <c r="J10" s="12">
        <v>0</v>
      </c>
      <c r="K10" s="11">
        <v>0</v>
      </c>
      <c r="L10" s="12">
        <v>0</v>
      </c>
      <c r="M10" s="12">
        <v>0</v>
      </c>
      <c r="N10" s="11">
        <v>0</v>
      </c>
      <c r="O10" s="12">
        <v>0</v>
      </c>
      <c r="P10" s="12">
        <v>0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9</v>
      </c>
      <c r="F12" s="12">
        <v>0.7777778</v>
      </c>
      <c r="G12" s="12">
        <v>0.7777778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7</v>
      </c>
      <c r="O12" s="12">
        <v>0.5714286</v>
      </c>
      <c r="P12" s="12">
        <v>0.5714286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0</v>
      </c>
      <c r="F14" s="12">
        <v>0</v>
      </c>
      <c r="G14" s="12">
        <v>0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0</v>
      </c>
      <c r="O14" s="12">
        <v>0</v>
      </c>
      <c r="P14" s="12">
        <v>0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0</v>
      </c>
      <c r="F16" s="12">
        <v>0</v>
      </c>
      <c r="G16" s="12">
        <v>0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0</v>
      </c>
      <c r="O16" s="12">
        <v>0</v>
      </c>
      <c r="P16" s="12">
        <v>0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</row>
    <row r="18" spans="1:16">
      <c r="A18" s="14" t="s">
        <v>87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79</v>
      </c>
      <c r="C20" s="9"/>
      <c r="D20" s="9"/>
      <c r="E20" s="9" t="s">
        <v>80</v>
      </c>
      <c r="F20" s="9"/>
      <c r="G20" s="9"/>
      <c r="H20" s="9" t="s">
        <v>81</v>
      </c>
      <c r="I20" s="9"/>
      <c r="J20" s="9"/>
      <c r="K20" s="9" t="s">
        <v>82</v>
      </c>
      <c r="L20" s="9"/>
      <c r="M20" s="9"/>
      <c r="N20" s="9" t="s">
        <v>83</v>
      </c>
      <c r="O20" s="9"/>
      <c r="P20" s="9"/>
    </row>
    <row r="21" spans="1:16">
      <c r="A21" s="9" t="s">
        <v>31</v>
      </c>
      <c r="B21" s="9" t="s">
        <v>84</v>
      </c>
      <c r="C21" s="9" t="s">
        <v>85</v>
      </c>
      <c r="D21" s="9" t="s">
        <v>86</v>
      </c>
      <c r="E21" s="9" t="s">
        <v>84</v>
      </c>
      <c r="F21" s="9" t="s">
        <v>85</v>
      </c>
      <c r="G21" s="9" t="s">
        <v>86</v>
      </c>
      <c r="H21" s="9" t="s">
        <v>84</v>
      </c>
      <c r="I21" s="9" t="s">
        <v>85</v>
      </c>
      <c r="J21" s="9" t="s">
        <v>86</v>
      </c>
      <c r="K21" s="9" t="s">
        <v>84</v>
      </c>
      <c r="L21" s="9" t="s">
        <v>85</v>
      </c>
      <c r="M21" s="9" t="s">
        <v>86</v>
      </c>
      <c r="N21" s="9" t="s">
        <v>84</v>
      </c>
      <c r="O21" s="9" t="s">
        <v>85</v>
      </c>
      <c r="P21" s="9" t="s">
        <v>86</v>
      </c>
    </row>
    <row r="22" spans="1:16">
      <c r="A22" s="10" t="s">
        <v>57</v>
      </c>
      <c r="B22" s="11">
        <v>0</v>
      </c>
      <c r="C22" s="12">
        <v>0</v>
      </c>
      <c r="D22" s="12">
        <v>0</v>
      </c>
      <c r="E22" s="11">
        <v>5</v>
      </c>
      <c r="F22" s="12">
        <v>0.6</v>
      </c>
      <c r="G22" s="12">
        <v>0.8</v>
      </c>
      <c r="H22" s="11">
        <v>0</v>
      </c>
      <c r="I22" s="12">
        <v>0</v>
      </c>
      <c r="J22" s="12">
        <v>0</v>
      </c>
      <c r="K22" s="11">
        <v>0</v>
      </c>
      <c r="L22" s="12">
        <v>0</v>
      </c>
      <c r="M22" s="12">
        <v>0</v>
      </c>
      <c r="N22" s="11">
        <v>4</v>
      </c>
      <c r="O22" s="12">
        <v>0.25</v>
      </c>
      <c r="P22" s="12">
        <v>0.5</v>
      </c>
    </row>
    <row r="23" spans="1:16">
      <c r="A23" s="10" t="s">
        <v>58</v>
      </c>
      <c r="B23" s="10">
        <v>0</v>
      </c>
      <c r="C23" s="13">
        <v>0</v>
      </c>
      <c r="D23" s="13">
        <v>0</v>
      </c>
      <c r="E23" s="10">
        <v>9</v>
      </c>
      <c r="F23" s="13">
        <v>0.7777778</v>
      </c>
      <c r="G23" s="13">
        <v>0.7777778</v>
      </c>
      <c r="H23" s="10">
        <v>0</v>
      </c>
      <c r="I23" s="13">
        <v>0</v>
      </c>
      <c r="J23" s="13">
        <v>0</v>
      </c>
      <c r="K23" s="10">
        <v>0</v>
      </c>
      <c r="L23" s="13">
        <v>0</v>
      </c>
      <c r="M23" s="13">
        <v>0</v>
      </c>
      <c r="N23" s="10">
        <v>7</v>
      </c>
      <c r="O23" s="13">
        <v>0.5714286</v>
      </c>
      <c r="P23" s="13">
        <v>0.5714286</v>
      </c>
    </row>
    <row r="24" spans="1:16">
      <c r="A24" s="14" t="s">
        <v>87</v>
      </c>
      <c r="B24" s="15" t="str">
        <f>SUM(B22:B23)</f>
        <v>0</v>
      </c>
      <c r="C24" s="16" t="str">
        <f>IF(B24=0, 0, ((B22*C22)+(B23*C23))/B24)</f>
        <v>0</v>
      </c>
      <c r="D24" s="16" t="str">
        <f>IF(B24=0, 0, ((B22*D22)+(B23*D23))/B24)</f>
        <v>0</v>
      </c>
      <c r="E24" s="15" t="str">
        <f>SUM(E22:E23)</f>
        <v>0</v>
      </c>
      <c r="F24" s="16" t="str">
        <f>IF(E24=0, 0, ((E22*F22)+(E23*F23))/E24)</f>
        <v>0</v>
      </c>
      <c r="G24" s="16" t="str">
        <f>IF(E24=0, 0, ((E22*G22)+(E23*G23))/E24)</f>
        <v>0</v>
      </c>
      <c r="H24" s="15" t="str">
        <f>SUM(H22:H23)</f>
        <v>0</v>
      </c>
      <c r="I24" s="16" t="str">
        <f>IF(H24=0, 0, ((H22*I22)+(H23*I23))/H24)</f>
        <v>0</v>
      </c>
      <c r="J24" s="16" t="str">
        <f>IF(H24=0, 0, ((H22*J22)+(H23*J23))/H24)</f>
        <v>0</v>
      </c>
      <c r="K24" s="15" t="str">
        <f>SUM(K22:K23)</f>
        <v>0</v>
      </c>
      <c r="L24" s="16" t="str">
        <f>IF(K24=0, 0, ((K22*L22)+(K23*L23))/K24)</f>
        <v>0</v>
      </c>
      <c r="M24" s="16" t="str">
        <f>IF(K24=0, 0, ((K22*M22)+(K23*M23))/K24)</f>
        <v>0</v>
      </c>
      <c r="N24" s="15" t="str">
        <f>SUM(N22:N23)</f>
        <v>0</v>
      </c>
      <c r="O24" s="16" t="str">
        <f>IF(N24=0, 0, ((N22*O22)+(N23*O23))/N24)</f>
        <v>0</v>
      </c>
      <c r="P24" s="16" t="str">
        <f>IF(N24=0, 0, ((N22*P22)+(N23*P23))/N24)</f>
        <v>0</v>
      </c>
    </row>
    <row r="27" spans="1:16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</row>
    <row r="29" spans="1:16">
      <c r="A29" s="17" t="s">
        <v>36</v>
      </c>
      <c r="B29" s="18"/>
      <c r="C29" t="s">
        <v>37</v>
      </c>
      <c r="D29"/>
      <c r="E29"/>
      <c r="F29"/>
      <c r="G29"/>
      <c r="H29"/>
      <c r="I29"/>
      <c r="J29"/>
      <c r="K29"/>
      <c r="L29"/>
      <c r="M29"/>
      <c r="N29"/>
      <c r="O29"/>
      <c r="P29"/>
    </row>
    <row r="30" spans="1:16">
      <c r="A30" s="17" t="s">
        <v>40</v>
      </c>
      <c r="B30" s="18"/>
      <c r="C30" t="s">
        <v>41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73</v>
      </c>
      <c r="B31" s="18"/>
      <c r="C31" t="s">
        <v>88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75</v>
      </c>
      <c r="B32" s="18"/>
      <c r="C32" t="s">
        <v>76</v>
      </c>
      <c r="D32"/>
      <c r="E32"/>
      <c r="F32"/>
      <c r="G32"/>
      <c r="H32"/>
      <c r="I32"/>
      <c r="J32"/>
      <c r="K32"/>
      <c r="L32"/>
      <c r="M32"/>
      <c r="N32"/>
      <c r="O32"/>
      <c r="P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7:P27"/>
    <mergeCell ref="A29:B29"/>
    <mergeCell ref="C29:P29"/>
    <mergeCell ref="A30:B30"/>
    <mergeCell ref="C30:P30"/>
    <mergeCell ref="A31:B31"/>
    <mergeCell ref="C31:P31"/>
    <mergeCell ref="A32:B32"/>
    <mergeCell ref="C32:P3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AIS&amp;RPrinted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90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91</v>
      </c>
      <c r="C4" s="9"/>
      <c r="D4" s="9"/>
      <c r="E4" s="9" t="s">
        <v>92</v>
      </c>
      <c r="F4" s="9"/>
      <c r="G4" s="9"/>
      <c r="H4" s="9" t="s">
        <v>93</v>
      </c>
      <c r="I4" s="9"/>
      <c r="J4" s="9"/>
      <c r="K4" s="9" t="s">
        <v>94</v>
      </c>
      <c r="L4" s="9"/>
      <c r="M4" s="9"/>
      <c r="N4" s="9" t="s">
        <v>95</v>
      </c>
      <c r="O4" s="9"/>
      <c r="P4" s="9"/>
      <c r="Q4" s="9" t="s">
        <v>96</v>
      </c>
      <c r="R4" s="9"/>
      <c r="S4" s="9"/>
      <c r="T4" s="9" t="s">
        <v>97</v>
      </c>
      <c r="U4" s="9"/>
      <c r="V4" s="9"/>
    </row>
    <row r="5" spans="1:22">
      <c r="A5" s="9" t="s">
        <v>13</v>
      </c>
      <c r="B5" s="9" t="s">
        <v>84</v>
      </c>
      <c r="C5" s="9" t="s">
        <v>85</v>
      </c>
      <c r="D5" s="9" t="s">
        <v>86</v>
      </c>
      <c r="E5" s="9" t="s">
        <v>84</v>
      </c>
      <c r="F5" s="9" t="s">
        <v>85</v>
      </c>
      <c r="G5" s="9" t="s">
        <v>86</v>
      </c>
      <c r="H5" s="9" t="s">
        <v>84</v>
      </c>
      <c r="I5" s="9" t="s">
        <v>85</v>
      </c>
      <c r="J5" s="9" t="s">
        <v>86</v>
      </c>
      <c r="K5" s="9" t="s">
        <v>84</v>
      </c>
      <c r="L5" s="9" t="s">
        <v>85</v>
      </c>
      <c r="M5" s="9" t="s">
        <v>86</v>
      </c>
      <c r="N5" s="9" t="s">
        <v>84</v>
      </c>
      <c r="O5" s="9" t="s">
        <v>85</v>
      </c>
      <c r="P5" s="9" t="s">
        <v>86</v>
      </c>
      <c r="Q5" s="9" t="s">
        <v>84</v>
      </c>
      <c r="R5" s="9" t="s">
        <v>85</v>
      </c>
      <c r="S5" s="9" t="s">
        <v>86</v>
      </c>
      <c r="T5" s="9" t="s">
        <v>84</v>
      </c>
      <c r="U5" s="9" t="s">
        <v>85</v>
      </c>
      <c r="V5" s="9" t="s">
        <v>86</v>
      </c>
    </row>
    <row r="6" spans="1:22">
      <c r="A6" s="10" t="s">
        <v>18</v>
      </c>
      <c r="B6" s="11">
        <v>0</v>
      </c>
      <c r="C6" s="12">
        <v>0</v>
      </c>
      <c r="D6" s="12">
        <v>0</v>
      </c>
      <c r="E6" s="11">
        <v>0</v>
      </c>
      <c r="F6" s="12">
        <v>0</v>
      </c>
      <c r="G6" s="12">
        <v>0</v>
      </c>
      <c r="H6" s="11">
        <v>0</v>
      </c>
      <c r="I6" s="12">
        <v>0</v>
      </c>
      <c r="J6" s="12">
        <v>0</v>
      </c>
      <c r="K6" s="11">
        <v>0</v>
      </c>
      <c r="L6" s="12">
        <v>0</v>
      </c>
      <c r="M6" s="12">
        <v>0</v>
      </c>
      <c r="N6" s="11">
        <v>0</v>
      </c>
      <c r="O6" s="12">
        <v>0</v>
      </c>
      <c r="P6" s="12">
        <v>0</v>
      </c>
      <c r="Q6" s="11">
        <v>0</v>
      </c>
      <c r="R6" s="12">
        <v>0</v>
      </c>
      <c r="S6" s="12">
        <v>0</v>
      </c>
      <c r="T6" s="11">
        <v>0</v>
      </c>
      <c r="U6" s="12">
        <v>0</v>
      </c>
      <c r="V6" s="12">
        <v>0</v>
      </c>
    </row>
    <row r="7" spans="1:22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  <c r="Q7" s="10">
        <v>0</v>
      </c>
      <c r="R7" s="13">
        <v>0</v>
      </c>
      <c r="S7" s="13">
        <v>0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0</v>
      </c>
      <c r="C8" s="12">
        <v>0</v>
      </c>
      <c r="D8" s="12">
        <v>0</v>
      </c>
      <c r="E8" s="11">
        <v>6</v>
      </c>
      <c r="F8" s="12">
        <v>0.3333333</v>
      </c>
      <c r="G8" s="12">
        <v>0.6666667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1</v>
      </c>
      <c r="O8" s="12">
        <v>0</v>
      </c>
      <c r="P8" s="12">
        <v>0</v>
      </c>
      <c r="Q8" s="11">
        <v>0</v>
      </c>
      <c r="R8" s="12">
        <v>0</v>
      </c>
      <c r="S8" s="12">
        <v>0</v>
      </c>
      <c r="T8" s="11">
        <v>2</v>
      </c>
      <c r="U8" s="12">
        <v>1</v>
      </c>
      <c r="V8" s="12">
        <v>1</v>
      </c>
    </row>
    <row r="9" spans="1:22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  <c r="Q9" s="10">
        <v>0</v>
      </c>
      <c r="R9" s="13">
        <v>0</v>
      </c>
      <c r="S9" s="13">
        <v>0</v>
      </c>
      <c r="T9" s="10">
        <v>0</v>
      </c>
      <c r="U9" s="13">
        <v>0</v>
      </c>
      <c r="V9" s="13">
        <v>0</v>
      </c>
    </row>
    <row r="10" spans="1:22">
      <c r="A10" s="10" t="s">
        <v>22</v>
      </c>
      <c r="B10" s="11">
        <v>0</v>
      </c>
      <c r="C10" s="12">
        <v>0</v>
      </c>
      <c r="D10" s="12">
        <v>0</v>
      </c>
      <c r="E10" s="11">
        <v>0</v>
      </c>
      <c r="F10" s="12">
        <v>0</v>
      </c>
      <c r="G10" s="12">
        <v>0</v>
      </c>
      <c r="H10" s="11">
        <v>0</v>
      </c>
      <c r="I10" s="12">
        <v>0</v>
      </c>
      <c r="J10" s="12">
        <v>0</v>
      </c>
      <c r="K10" s="11">
        <v>0</v>
      </c>
      <c r="L10" s="12">
        <v>0</v>
      </c>
      <c r="M10" s="12">
        <v>0</v>
      </c>
      <c r="N10" s="11">
        <v>0</v>
      </c>
      <c r="O10" s="12">
        <v>0</v>
      </c>
      <c r="P10" s="12">
        <v>0</v>
      </c>
      <c r="Q10" s="11">
        <v>0</v>
      </c>
      <c r="R10" s="12">
        <v>0</v>
      </c>
      <c r="S10" s="12">
        <v>0</v>
      </c>
      <c r="T10" s="11">
        <v>0</v>
      </c>
      <c r="U10" s="12">
        <v>0</v>
      </c>
      <c r="V10" s="12">
        <v>0</v>
      </c>
    </row>
    <row r="11" spans="1:22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  <c r="Q11" s="10">
        <v>0</v>
      </c>
      <c r="R11" s="13">
        <v>0</v>
      </c>
      <c r="S11" s="13">
        <v>0</v>
      </c>
      <c r="T11" s="10">
        <v>0</v>
      </c>
      <c r="U11" s="13">
        <v>0</v>
      </c>
      <c r="V11" s="13">
        <v>0</v>
      </c>
    </row>
    <row r="12" spans="1:22">
      <c r="A12" s="10" t="s">
        <v>24</v>
      </c>
      <c r="B12" s="11">
        <v>4</v>
      </c>
      <c r="C12" s="12">
        <v>0.5</v>
      </c>
      <c r="D12" s="12">
        <v>0.5</v>
      </c>
      <c r="E12" s="11">
        <v>7</v>
      </c>
      <c r="F12" s="12">
        <v>0.7142857</v>
      </c>
      <c r="G12" s="12">
        <v>0.7142857</v>
      </c>
      <c r="H12" s="11">
        <v>3</v>
      </c>
      <c r="I12" s="12">
        <v>0.6666667</v>
      </c>
      <c r="J12" s="12">
        <v>0.6666667</v>
      </c>
      <c r="K12" s="11">
        <v>0</v>
      </c>
      <c r="L12" s="12">
        <v>0</v>
      </c>
      <c r="M12" s="12">
        <v>0</v>
      </c>
      <c r="N12" s="11">
        <v>0</v>
      </c>
      <c r="O12" s="12">
        <v>0</v>
      </c>
      <c r="P12" s="12">
        <v>0</v>
      </c>
      <c r="Q12" s="11">
        <v>0</v>
      </c>
      <c r="R12" s="12">
        <v>0</v>
      </c>
      <c r="S12" s="12">
        <v>0</v>
      </c>
      <c r="T12" s="11">
        <v>2</v>
      </c>
      <c r="U12" s="12">
        <v>1</v>
      </c>
      <c r="V12" s="12">
        <v>1</v>
      </c>
    </row>
    <row r="13" spans="1:22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  <c r="Q13" s="10">
        <v>0</v>
      </c>
      <c r="R13" s="13">
        <v>0</v>
      </c>
      <c r="S13" s="13">
        <v>0</v>
      </c>
      <c r="T13" s="10">
        <v>0</v>
      </c>
      <c r="U13" s="13">
        <v>0</v>
      </c>
      <c r="V13" s="13">
        <v>0</v>
      </c>
    </row>
    <row r="14" spans="1:22">
      <c r="A14" s="10" t="s">
        <v>26</v>
      </c>
      <c r="B14" s="11">
        <v>0</v>
      </c>
      <c r="C14" s="12">
        <v>0</v>
      </c>
      <c r="D14" s="12">
        <v>0</v>
      </c>
      <c r="E14" s="11">
        <v>0</v>
      </c>
      <c r="F14" s="12">
        <v>0</v>
      </c>
      <c r="G14" s="12">
        <v>0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0</v>
      </c>
      <c r="O14" s="12">
        <v>0</v>
      </c>
      <c r="P14" s="12">
        <v>0</v>
      </c>
      <c r="Q14" s="11">
        <v>0</v>
      </c>
      <c r="R14" s="12">
        <v>0</v>
      </c>
      <c r="S14" s="12">
        <v>0</v>
      </c>
      <c r="T14" s="11">
        <v>0</v>
      </c>
      <c r="U14" s="12">
        <v>0</v>
      </c>
      <c r="V14" s="12">
        <v>0</v>
      </c>
    </row>
    <row r="15" spans="1:22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  <c r="Q15" s="10">
        <v>0</v>
      </c>
      <c r="R15" s="13">
        <v>0</v>
      </c>
      <c r="S15" s="13">
        <v>0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0</v>
      </c>
      <c r="C16" s="12">
        <v>0</v>
      </c>
      <c r="D16" s="12">
        <v>0</v>
      </c>
      <c r="E16" s="11">
        <v>0</v>
      </c>
      <c r="F16" s="12">
        <v>0</v>
      </c>
      <c r="G16" s="12">
        <v>0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0</v>
      </c>
      <c r="O16" s="12">
        <v>0</v>
      </c>
      <c r="P16" s="12">
        <v>0</v>
      </c>
      <c r="Q16" s="11">
        <v>0</v>
      </c>
      <c r="R16" s="12">
        <v>0</v>
      </c>
      <c r="S16" s="12">
        <v>0</v>
      </c>
      <c r="T16" s="11">
        <v>0</v>
      </c>
      <c r="U16" s="12">
        <v>0</v>
      </c>
      <c r="V16" s="12">
        <v>0</v>
      </c>
    </row>
    <row r="17" spans="1:22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  <c r="Q17" s="10">
        <v>0</v>
      </c>
      <c r="R17" s="13">
        <v>0</v>
      </c>
      <c r="S17" s="13">
        <v>0</v>
      </c>
      <c r="T17" s="10">
        <v>0</v>
      </c>
      <c r="U17" s="13">
        <v>0</v>
      </c>
      <c r="V17" s="13">
        <v>0</v>
      </c>
    </row>
    <row r="18" spans="1:22">
      <c r="A18" s="14" t="s">
        <v>87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91</v>
      </c>
      <c r="C20" s="9"/>
      <c r="D20" s="9"/>
      <c r="E20" s="9" t="s">
        <v>92</v>
      </c>
      <c r="F20" s="9"/>
      <c r="G20" s="9"/>
      <c r="H20" s="9" t="s">
        <v>93</v>
      </c>
      <c r="I20" s="9"/>
      <c r="J20" s="9"/>
      <c r="K20" s="9" t="s">
        <v>94</v>
      </c>
      <c r="L20" s="9"/>
      <c r="M20" s="9"/>
      <c r="N20" s="9" t="s">
        <v>95</v>
      </c>
      <c r="O20" s="9"/>
      <c r="P20" s="9"/>
      <c r="Q20" s="9" t="s">
        <v>96</v>
      </c>
      <c r="R20" s="9"/>
      <c r="S20" s="9"/>
      <c r="T20" s="9" t="s">
        <v>97</v>
      </c>
      <c r="U20" s="9"/>
      <c r="V20" s="9"/>
    </row>
    <row r="21" spans="1:22">
      <c r="A21" s="9" t="s">
        <v>31</v>
      </c>
      <c r="B21" s="9" t="s">
        <v>84</v>
      </c>
      <c r="C21" s="9" t="s">
        <v>85</v>
      </c>
      <c r="D21" s="9" t="s">
        <v>86</v>
      </c>
      <c r="E21" s="9" t="s">
        <v>84</v>
      </c>
      <c r="F21" s="9" t="s">
        <v>85</v>
      </c>
      <c r="G21" s="9" t="s">
        <v>86</v>
      </c>
      <c r="H21" s="9" t="s">
        <v>84</v>
      </c>
      <c r="I21" s="9" t="s">
        <v>85</v>
      </c>
      <c r="J21" s="9" t="s">
        <v>86</v>
      </c>
      <c r="K21" s="9" t="s">
        <v>84</v>
      </c>
      <c r="L21" s="9" t="s">
        <v>85</v>
      </c>
      <c r="M21" s="9" t="s">
        <v>86</v>
      </c>
      <c r="N21" s="9" t="s">
        <v>84</v>
      </c>
      <c r="O21" s="9" t="s">
        <v>85</v>
      </c>
      <c r="P21" s="9" t="s">
        <v>86</v>
      </c>
      <c r="Q21" s="9" t="s">
        <v>84</v>
      </c>
      <c r="R21" s="9" t="s">
        <v>85</v>
      </c>
      <c r="S21" s="9" t="s">
        <v>86</v>
      </c>
      <c r="T21" s="9" t="s">
        <v>84</v>
      </c>
      <c r="U21" s="9" t="s">
        <v>85</v>
      </c>
      <c r="V21" s="9" t="s">
        <v>86</v>
      </c>
    </row>
    <row r="22" spans="1:22">
      <c r="A22" s="10" t="s">
        <v>57</v>
      </c>
      <c r="B22" s="11">
        <v>0</v>
      </c>
      <c r="C22" s="12">
        <v>0</v>
      </c>
      <c r="D22" s="12">
        <v>0</v>
      </c>
      <c r="E22" s="11">
        <v>6</v>
      </c>
      <c r="F22" s="12">
        <v>0.3333333</v>
      </c>
      <c r="G22" s="12">
        <v>0.6666667</v>
      </c>
      <c r="H22" s="11">
        <v>0</v>
      </c>
      <c r="I22" s="12">
        <v>0</v>
      </c>
      <c r="J22" s="12">
        <v>0</v>
      </c>
      <c r="K22" s="11">
        <v>0</v>
      </c>
      <c r="L22" s="12">
        <v>0</v>
      </c>
      <c r="M22" s="12">
        <v>0</v>
      </c>
      <c r="N22" s="11">
        <v>1</v>
      </c>
      <c r="O22" s="12">
        <v>0</v>
      </c>
      <c r="P22" s="12">
        <v>0</v>
      </c>
      <c r="Q22" s="11">
        <v>0</v>
      </c>
      <c r="R22" s="12">
        <v>0</v>
      </c>
      <c r="S22" s="12">
        <v>0</v>
      </c>
      <c r="T22" s="11">
        <v>2</v>
      </c>
      <c r="U22" s="12">
        <v>1</v>
      </c>
      <c r="V22" s="12">
        <v>1</v>
      </c>
    </row>
    <row r="23" spans="1:22">
      <c r="A23" s="10" t="s">
        <v>58</v>
      </c>
      <c r="B23" s="10">
        <v>4</v>
      </c>
      <c r="C23" s="13">
        <v>0.5</v>
      </c>
      <c r="D23" s="13">
        <v>0.5</v>
      </c>
      <c r="E23" s="10">
        <v>7</v>
      </c>
      <c r="F23" s="13">
        <v>0.7142857</v>
      </c>
      <c r="G23" s="13">
        <v>0.7142857</v>
      </c>
      <c r="H23" s="10">
        <v>3</v>
      </c>
      <c r="I23" s="13">
        <v>0.6666667</v>
      </c>
      <c r="J23" s="13">
        <v>0.6666667</v>
      </c>
      <c r="K23" s="10">
        <v>0</v>
      </c>
      <c r="L23" s="13">
        <v>0</v>
      </c>
      <c r="M23" s="13">
        <v>0</v>
      </c>
      <c r="N23" s="10">
        <v>0</v>
      </c>
      <c r="O23" s="13">
        <v>0</v>
      </c>
      <c r="P23" s="13">
        <v>0</v>
      </c>
      <c r="Q23" s="10">
        <v>0</v>
      </c>
      <c r="R23" s="13">
        <v>0</v>
      </c>
      <c r="S23" s="13">
        <v>0</v>
      </c>
      <c r="T23" s="10">
        <v>2</v>
      </c>
      <c r="U23" s="13">
        <v>1</v>
      </c>
      <c r="V23" s="13">
        <v>1</v>
      </c>
    </row>
    <row r="24" spans="1:22">
      <c r="A24" s="14" t="s">
        <v>87</v>
      </c>
      <c r="B24" s="15" t="str">
        <f>SUM(B22:B23)</f>
        <v>0</v>
      </c>
      <c r="C24" s="16" t="str">
        <f>IF(B24=0, "", ((B22*C22)+(B23*C23))/B24)</f>
        <v>0</v>
      </c>
      <c r="D24" s="16" t="str">
        <f>IF(B24=0, "", ((B22*D22)+(B23*D23))/B24)</f>
        <v>0</v>
      </c>
      <c r="E24" s="15" t="str">
        <f>SUM(E22:E23)</f>
        <v>0</v>
      </c>
      <c r="F24" s="16" t="str">
        <f>IF(E24=0, "", ((E22*F22)+(E23*F23))/E24)</f>
        <v>0</v>
      </c>
      <c r="G24" s="16" t="str">
        <f>IF(E24=0, "", ((E22*G22)+(E23*G23))/E24)</f>
        <v>0</v>
      </c>
      <c r="H24" s="15" t="str">
        <f>SUM(H22:H23)</f>
        <v>0</v>
      </c>
      <c r="I24" s="16" t="str">
        <f>IF(H24=0, "", ((H22*I22)+(H23*I23))/H24)</f>
        <v>0</v>
      </c>
      <c r="J24" s="16" t="str">
        <f>IF(H24=0, "", ((H22*J22)+(H23*J23))/H24)</f>
        <v>0</v>
      </c>
      <c r="K24" s="15" t="str">
        <f>SUM(K22:K23)</f>
        <v>0</v>
      </c>
      <c r="L24" s="16" t="str">
        <f>IF(K24=0, "", ((K22*L22)+(K23*L23))/K24)</f>
        <v>0</v>
      </c>
      <c r="M24" s="16" t="str">
        <f>IF(K24=0, "", ((K22*M22)+(K23*M23))/K24)</f>
        <v>0</v>
      </c>
      <c r="N24" s="15" t="str">
        <f>SUM(N22:N23)</f>
        <v>0</v>
      </c>
      <c r="O24" s="16" t="str">
        <f>IF(N24=0, "", ((N22*O22)+(N23*O23))/N24)</f>
        <v>0</v>
      </c>
      <c r="P24" s="16" t="str">
        <f>IF(N24=0, "", ((N22*P22)+(N23*P23))/N24)</f>
        <v>0</v>
      </c>
      <c r="Q24" s="15" t="str">
        <f>SUM(Q22:Q23)</f>
        <v>0</v>
      </c>
      <c r="R24" s="16" t="str">
        <f>IF(Q24=0, "", ((Q22*R22)+(Q23*R23))/Q24)</f>
        <v>0</v>
      </c>
      <c r="S24" s="16" t="str">
        <f>IF(Q24=0, "", ((Q22*S22)+(Q23*S23))/Q24)</f>
        <v>0</v>
      </c>
      <c r="T24" s="15" t="str">
        <f>SUM(T22:T23)</f>
        <v>0</v>
      </c>
      <c r="U24" s="16" t="str">
        <f>IF(T24=0, "", ((T22*U22)+(T23*U23))/T24)</f>
        <v>0</v>
      </c>
      <c r="V24" s="16" t="str">
        <f>IF(T24=0, "", ((T22*V22)+(T23*V23))/T24)</f>
        <v>0</v>
      </c>
    </row>
    <row r="27" spans="1:22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</row>
    <row r="29" spans="1:22">
      <c r="A29" s="17" t="s">
        <v>36</v>
      </c>
      <c r="B29" s="18"/>
      <c r="C29" t="s">
        <v>37</v>
      </c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spans="1:22">
      <c r="A30" s="17" t="s">
        <v>40</v>
      </c>
      <c r="B30" s="18"/>
      <c r="C30" t="s">
        <v>41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73</v>
      </c>
      <c r="B31" s="18"/>
      <c r="C31" t="s">
        <v>88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75</v>
      </c>
      <c r="B32" s="18"/>
      <c r="C32" t="s">
        <v>76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7:V27"/>
    <mergeCell ref="A29:B29"/>
    <mergeCell ref="C29:V29"/>
    <mergeCell ref="A30:B30"/>
    <mergeCell ref="C30:V30"/>
    <mergeCell ref="A31:B31"/>
    <mergeCell ref="C31:V31"/>
    <mergeCell ref="A32:B32"/>
    <mergeCell ref="C32:V32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&amp;L&amp;B2017-2018 IVC Research Report for AIS&amp;RPrinted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100</v>
      </c>
      <c r="C4" s="9"/>
      <c r="D4" s="9"/>
      <c r="E4" s="9" t="s">
        <v>101</v>
      </c>
      <c r="F4" s="9"/>
      <c r="G4" s="9"/>
      <c r="H4" s="9" t="s">
        <v>102</v>
      </c>
      <c r="I4" s="9"/>
      <c r="J4" s="9"/>
    </row>
    <row r="5" spans="1:10">
      <c r="A5" s="9" t="s">
        <v>13</v>
      </c>
      <c r="B5" s="9" t="s">
        <v>84</v>
      </c>
      <c r="C5" s="9" t="s">
        <v>85</v>
      </c>
      <c r="D5" s="9" t="s">
        <v>86</v>
      </c>
      <c r="E5" s="9" t="s">
        <v>84</v>
      </c>
      <c r="F5" s="9" t="s">
        <v>85</v>
      </c>
      <c r="G5" s="9" t="s">
        <v>86</v>
      </c>
      <c r="H5" s="9" t="s">
        <v>84</v>
      </c>
      <c r="I5" s="9" t="s">
        <v>85</v>
      </c>
      <c r="J5" s="9" t="s">
        <v>86</v>
      </c>
    </row>
    <row r="6" spans="1:10">
      <c r="A6" s="10" t="s">
        <v>18</v>
      </c>
      <c r="B6" s="11">
        <v>0</v>
      </c>
      <c r="C6" s="12">
        <v>0</v>
      </c>
      <c r="D6" s="12">
        <v>0</v>
      </c>
      <c r="E6" s="11">
        <v>0</v>
      </c>
      <c r="F6" s="12">
        <v>0</v>
      </c>
      <c r="G6" s="12">
        <v>0</v>
      </c>
      <c r="H6" s="11">
        <v>0</v>
      </c>
      <c r="I6" s="12">
        <v>0</v>
      </c>
      <c r="J6" s="12">
        <v>0</v>
      </c>
    </row>
    <row r="7" spans="1:10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3</v>
      </c>
      <c r="C8" s="12">
        <v>0.6666667</v>
      </c>
      <c r="D8" s="12">
        <v>0.6666667</v>
      </c>
      <c r="E8" s="11">
        <v>6</v>
      </c>
      <c r="F8" s="12">
        <v>0.3333333</v>
      </c>
      <c r="G8" s="12">
        <v>0.6666667</v>
      </c>
      <c r="H8" s="11">
        <v>0</v>
      </c>
      <c r="I8" s="12">
        <v>0</v>
      </c>
      <c r="J8" s="12">
        <v>0</v>
      </c>
    </row>
    <row r="9" spans="1:10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0</v>
      </c>
      <c r="C10" s="12">
        <v>0</v>
      </c>
      <c r="D10" s="12">
        <v>0</v>
      </c>
      <c r="E10" s="11">
        <v>0</v>
      </c>
      <c r="F10" s="12">
        <v>0</v>
      </c>
      <c r="G10" s="12">
        <v>0</v>
      </c>
      <c r="H10" s="11">
        <v>0</v>
      </c>
      <c r="I10" s="12">
        <v>0</v>
      </c>
      <c r="J10" s="12">
        <v>0</v>
      </c>
    </row>
    <row r="11" spans="1:10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9</v>
      </c>
      <c r="C12" s="12">
        <v>0.7777778</v>
      </c>
      <c r="D12" s="12">
        <v>0.7777778</v>
      </c>
      <c r="E12" s="11">
        <v>7</v>
      </c>
      <c r="F12" s="12">
        <v>0.5714286</v>
      </c>
      <c r="G12" s="12">
        <v>0.5714286</v>
      </c>
      <c r="H12" s="11">
        <v>0</v>
      </c>
      <c r="I12" s="12">
        <v>0</v>
      </c>
      <c r="J12" s="12">
        <v>0</v>
      </c>
    </row>
    <row r="13" spans="1:10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0</v>
      </c>
      <c r="C14" s="12">
        <v>0</v>
      </c>
      <c r="D14" s="12">
        <v>0</v>
      </c>
      <c r="E14" s="11">
        <v>0</v>
      </c>
      <c r="F14" s="12">
        <v>0</v>
      </c>
      <c r="G14" s="12">
        <v>0</v>
      </c>
      <c r="H14" s="11">
        <v>0</v>
      </c>
      <c r="I14" s="12">
        <v>0</v>
      </c>
      <c r="J14" s="12">
        <v>0</v>
      </c>
    </row>
    <row r="15" spans="1:10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0</v>
      </c>
      <c r="C16" s="12">
        <v>0</v>
      </c>
      <c r="D16" s="12">
        <v>0</v>
      </c>
      <c r="E16" s="11">
        <v>0</v>
      </c>
      <c r="F16" s="12">
        <v>0</v>
      </c>
      <c r="G16" s="12">
        <v>0</v>
      </c>
      <c r="H16" s="11">
        <v>0</v>
      </c>
      <c r="I16" s="12">
        <v>0</v>
      </c>
      <c r="J16" s="12">
        <v>0</v>
      </c>
    </row>
    <row r="17" spans="1:10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</row>
    <row r="18" spans="1:10">
      <c r="A18" s="14" t="s">
        <v>87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100</v>
      </c>
      <c r="C20" s="9"/>
      <c r="D20" s="9"/>
      <c r="E20" s="9" t="s">
        <v>101</v>
      </c>
      <c r="F20" s="9"/>
      <c r="G20" s="9"/>
      <c r="H20" s="9" t="s">
        <v>102</v>
      </c>
      <c r="I20" s="9"/>
      <c r="J20" s="9"/>
    </row>
    <row r="21" spans="1:10">
      <c r="A21" s="9" t="s">
        <v>31</v>
      </c>
      <c r="B21" s="9" t="s">
        <v>84</v>
      </c>
      <c r="C21" s="9" t="s">
        <v>85</v>
      </c>
      <c r="D21" s="9" t="s">
        <v>86</v>
      </c>
      <c r="E21" s="9" t="s">
        <v>84</v>
      </c>
      <c r="F21" s="9" t="s">
        <v>85</v>
      </c>
      <c r="G21" s="9" t="s">
        <v>86</v>
      </c>
      <c r="H21" s="9" t="s">
        <v>84</v>
      </c>
      <c r="I21" s="9" t="s">
        <v>85</v>
      </c>
      <c r="J21" s="9" t="s">
        <v>86</v>
      </c>
    </row>
    <row r="22" spans="1:10">
      <c r="A22" s="10" t="s">
        <v>57</v>
      </c>
      <c r="B22" s="11">
        <v>3</v>
      </c>
      <c r="C22" s="12">
        <v>0.6666667</v>
      </c>
      <c r="D22" s="12">
        <v>0.6666667</v>
      </c>
      <c r="E22" s="11">
        <v>6</v>
      </c>
      <c r="F22" s="12">
        <v>0.3333333</v>
      </c>
      <c r="G22" s="12">
        <v>0.6666667</v>
      </c>
      <c r="H22" s="11">
        <v>0</v>
      </c>
      <c r="I22" s="12">
        <v>0</v>
      </c>
      <c r="J22" s="12">
        <v>0</v>
      </c>
    </row>
    <row r="23" spans="1:10">
      <c r="A23" s="10" t="s">
        <v>58</v>
      </c>
      <c r="B23" s="10">
        <v>9</v>
      </c>
      <c r="C23" s="13">
        <v>0.7777778</v>
      </c>
      <c r="D23" s="13">
        <v>0.7777778</v>
      </c>
      <c r="E23" s="10">
        <v>7</v>
      </c>
      <c r="F23" s="13">
        <v>0.5714286</v>
      </c>
      <c r="G23" s="13">
        <v>0.5714286</v>
      </c>
      <c r="H23" s="10">
        <v>0</v>
      </c>
      <c r="I23" s="13">
        <v>0</v>
      </c>
      <c r="J23" s="13">
        <v>0</v>
      </c>
    </row>
    <row r="24" spans="1:10">
      <c r="A24" s="14" t="s">
        <v>87</v>
      </c>
      <c r="B24" s="15" t="str">
        <f>SUM(B22:B23)</f>
        <v>0</v>
      </c>
      <c r="C24" s="16" t="str">
        <f>((B22*C22)+(B23*C23))/B24</f>
        <v>0</v>
      </c>
      <c r="D24" s="16" t="str">
        <f>((B22*D22)+(B23*D23))/B24</f>
        <v>0</v>
      </c>
      <c r="E24" s="15" t="str">
        <f>SUM(E22:E23)</f>
        <v>0</v>
      </c>
      <c r="F24" s="16" t="str">
        <f>((E22*F22)+(E23*F23))/E24</f>
        <v>0</v>
      </c>
      <c r="G24" s="16" t="str">
        <f>((E22*G22)+(E23*G23))/E24</f>
        <v>0</v>
      </c>
      <c r="H24" s="15" t="str">
        <f>SUM(H22:H23)</f>
        <v>0</v>
      </c>
      <c r="I24" s="16" t="str">
        <f>((H22*I22)+(H23*I23))/H24</f>
        <v>0</v>
      </c>
      <c r="J24" s="16" t="str">
        <f>((H22*J22)+(H23*J23))/H24</f>
        <v>0</v>
      </c>
    </row>
    <row r="27" spans="1:10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</row>
    <row r="29" spans="1:10">
      <c r="A29" s="17" t="s">
        <v>36</v>
      </c>
      <c r="B29" s="18"/>
      <c r="C29" t="s">
        <v>37</v>
      </c>
      <c r="D29"/>
      <c r="E29"/>
      <c r="F29"/>
      <c r="G29"/>
      <c r="H29"/>
      <c r="I29"/>
      <c r="J29"/>
    </row>
    <row r="30" spans="1:10">
      <c r="A30" s="17" t="s">
        <v>40</v>
      </c>
      <c r="B30" s="18"/>
      <c r="C30" t="s">
        <v>41</v>
      </c>
      <c r="D30"/>
      <c r="E30"/>
      <c r="F30"/>
      <c r="G30"/>
      <c r="H30"/>
      <c r="I30"/>
      <c r="J30"/>
    </row>
    <row r="31" spans="1:10">
      <c r="A31" s="17" t="s">
        <v>73</v>
      </c>
      <c r="B31" s="18"/>
      <c r="C31" t="s">
        <v>88</v>
      </c>
      <c r="D31"/>
      <c r="E31"/>
      <c r="F31"/>
      <c r="G31"/>
      <c r="H31"/>
      <c r="I31"/>
      <c r="J31"/>
    </row>
    <row r="32" spans="1:10">
      <c r="A32" s="17" t="s">
        <v>75</v>
      </c>
      <c r="B32" s="18"/>
      <c r="C32" t="s">
        <v>76</v>
      </c>
      <c r="D32"/>
      <c r="E32"/>
      <c r="F32"/>
      <c r="G32"/>
      <c r="H32"/>
      <c r="I32"/>
      <c r="J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7:J27"/>
    <mergeCell ref="A29:B29"/>
    <mergeCell ref="C29:J29"/>
    <mergeCell ref="A30:B30"/>
    <mergeCell ref="C30:J30"/>
    <mergeCell ref="A31:B31"/>
    <mergeCell ref="C31:J31"/>
    <mergeCell ref="A32:B32"/>
    <mergeCell ref="C32:J32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&amp;L&amp;B2017-2018 IVC Research Report for AIS&amp;RPrinted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7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103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104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105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5" t="s">
        <v>106</v>
      </c>
      <c r="B5" s="26" t="s">
        <v>107</v>
      </c>
      <c r="C5" s="25" t="s">
        <v>108</v>
      </c>
      <c r="D5" s="26" t="s">
        <v>109</v>
      </c>
      <c r="E5" s="26" t="s">
        <v>110</v>
      </c>
      <c r="F5" s="26" t="s">
        <v>111</v>
      </c>
      <c r="G5" s="25" t="s">
        <v>112</v>
      </c>
      <c r="H5" s="25" t="s">
        <v>113</v>
      </c>
      <c r="I5" s="25" t="s">
        <v>114</v>
      </c>
      <c r="J5" s="25" t="s">
        <v>115</v>
      </c>
      <c r="K5" s="25" t="s">
        <v>116</v>
      </c>
      <c r="L5" s="25" t="s">
        <v>117</v>
      </c>
      <c r="M5" s="25" t="s">
        <v>118</v>
      </c>
      <c r="N5" s="25" t="s">
        <v>119</v>
      </c>
      <c r="O5" s="25" t="s">
        <v>120</v>
      </c>
      <c r="P5" s="25" t="s">
        <v>54</v>
      </c>
      <c r="Q5" s="25" t="s">
        <v>55</v>
      </c>
      <c r="R5" s="25" t="s">
        <v>121</v>
      </c>
      <c r="S5" s="25" t="s">
        <v>122</v>
      </c>
      <c r="T5" s="25" t="s">
        <v>123</v>
      </c>
    </row>
    <row r="6" spans="1:20">
      <c r="A6" s="27" t="s">
        <v>58</v>
      </c>
      <c r="B6" s="27" t="s">
        <v>24</v>
      </c>
      <c r="C6" s="27">
        <v>201620</v>
      </c>
      <c r="D6" s="27" t="s">
        <v>0</v>
      </c>
      <c r="E6" s="27" t="s">
        <v>124</v>
      </c>
      <c r="F6" s="27" t="s">
        <v>125</v>
      </c>
      <c r="G6" s="27">
        <v>1</v>
      </c>
      <c r="H6" s="27">
        <v>11</v>
      </c>
      <c r="I6" s="27">
        <v>11</v>
      </c>
      <c r="J6" s="27">
        <v>16</v>
      </c>
      <c r="K6" s="27">
        <v>11</v>
      </c>
      <c r="L6" s="29">
        <v>0.6875</v>
      </c>
      <c r="M6" s="27">
        <v>11</v>
      </c>
      <c r="N6" s="29">
        <v>0.6875</v>
      </c>
      <c r="O6" s="27">
        <v>3.375</v>
      </c>
      <c r="P6" s="27">
        <v>54</v>
      </c>
      <c r="Q6" s="27">
        <v>0.2</v>
      </c>
      <c r="R6" s="27">
        <v>270</v>
      </c>
      <c r="S6" s="27">
        <v>1.54</v>
      </c>
      <c r="T6" s="27">
        <v>35.06</v>
      </c>
    </row>
    <row r="7" spans="1:20">
      <c r="A7" s="28" t="s">
        <v>57</v>
      </c>
      <c r="B7" s="28" t="s">
        <v>20</v>
      </c>
      <c r="C7" s="28">
        <v>201520</v>
      </c>
      <c r="D7" s="28" t="s">
        <v>0</v>
      </c>
      <c r="E7" s="28" t="s">
        <v>126</v>
      </c>
      <c r="F7" s="28" t="s">
        <v>125</v>
      </c>
      <c r="G7" s="28">
        <v>1</v>
      </c>
      <c r="H7" s="28">
        <v>4</v>
      </c>
      <c r="I7" s="28">
        <v>6</v>
      </c>
      <c r="J7" s="28">
        <v>9</v>
      </c>
      <c r="K7" s="28">
        <v>4</v>
      </c>
      <c r="L7" s="30">
        <v>0.44444</v>
      </c>
      <c r="M7" s="28">
        <v>6</v>
      </c>
      <c r="N7" s="30">
        <v>0.66667</v>
      </c>
      <c r="O7" s="28">
        <v>3.375</v>
      </c>
      <c r="P7" s="28">
        <v>30.375</v>
      </c>
      <c r="Q7" s="28">
        <v>0.2</v>
      </c>
      <c r="R7" s="28">
        <v>151.88</v>
      </c>
      <c r="S7" s="28">
        <v>0.87</v>
      </c>
      <c r="T7" s="28">
        <v>34.91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7"/>
  <mergeCells>
    <mergeCell ref="A1:T1"/>
    <mergeCell ref="A2:T2"/>
    <mergeCell ref="A3:T3"/>
  </mergeCells>
  <conditionalFormatting sqref="L6:L7">
    <cfRule type="cellIs" dxfId="0" priority="1" operator="lessThan">
      <formula>0.7</formula>
    </cfRule>
  </conditionalFormatting>
  <conditionalFormatting sqref="N6:N7">
    <cfRule type="cellIs" dxfId="1" priority="2" operator="lessThan">
      <formula>0.86</formula>
    </cfRule>
  </conditionalFormatting>
  <conditionalFormatting sqref="R6:R7">
    <cfRule type="cellIs" dxfId="2" priority="3" operator="lessThan">
      <formula>565</formula>
    </cfRule>
  </conditionalFormatting>
  <conditionalFormatting sqref="R6:R7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&amp;L&amp;B2017-2018 IVC Research Report for AIS&amp;RPrinted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7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127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128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105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5" t="s">
        <v>106</v>
      </c>
      <c r="B5" s="26" t="s">
        <v>107</v>
      </c>
      <c r="C5" s="25" t="s">
        <v>108</v>
      </c>
      <c r="D5" s="25" t="s">
        <v>129</v>
      </c>
      <c r="E5" s="26" t="s">
        <v>109</v>
      </c>
      <c r="F5" s="26" t="s">
        <v>110</v>
      </c>
      <c r="G5" s="26" t="s">
        <v>111</v>
      </c>
      <c r="H5" s="26" t="s">
        <v>130</v>
      </c>
      <c r="I5" s="26" t="s">
        <v>131</v>
      </c>
      <c r="J5" s="25" t="s">
        <v>113</v>
      </c>
      <c r="K5" s="25" t="s">
        <v>114</v>
      </c>
      <c r="L5" s="25" t="s">
        <v>115</v>
      </c>
      <c r="M5" s="25" t="s">
        <v>117</v>
      </c>
      <c r="N5" s="25" t="s">
        <v>119</v>
      </c>
      <c r="O5" s="25" t="s">
        <v>132</v>
      </c>
      <c r="P5" s="25" t="s">
        <v>120</v>
      </c>
      <c r="Q5" s="25" t="s">
        <v>55</v>
      </c>
      <c r="R5" s="25" t="s">
        <v>121</v>
      </c>
      <c r="S5" s="25" t="s">
        <v>122</v>
      </c>
    </row>
    <row r="6" spans="1:19">
      <c r="A6" s="27" t="s">
        <v>58</v>
      </c>
      <c r="B6" s="27" t="s">
        <v>24</v>
      </c>
      <c r="C6" s="27">
        <v>201620</v>
      </c>
      <c r="D6" s="27">
        <v>20807</v>
      </c>
      <c r="E6" s="27" t="s">
        <v>0</v>
      </c>
      <c r="F6" s="27" t="s">
        <v>124</v>
      </c>
      <c r="G6" s="27" t="s">
        <v>125</v>
      </c>
      <c r="H6" s="27" t="s">
        <v>133</v>
      </c>
      <c r="I6" s="27" t="s">
        <v>134</v>
      </c>
      <c r="J6" s="27">
        <v>11</v>
      </c>
      <c r="K6" s="27">
        <v>11</v>
      </c>
      <c r="L6" s="27">
        <v>16</v>
      </c>
      <c r="M6" s="29">
        <v>0.6875</v>
      </c>
      <c r="N6" s="29">
        <v>0.6875</v>
      </c>
      <c r="O6" s="27">
        <v>2.44</v>
      </c>
      <c r="P6" s="27">
        <v>3.375</v>
      </c>
      <c r="Q6" s="27">
        <v>0.2</v>
      </c>
      <c r="R6" s="27">
        <v>270</v>
      </c>
      <c r="S6" s="27">
        <v>1.66</v>
      </c>
    </row>
    <row r="7" spans="1:19">
      <c r="A7" s="28" t="s">
        <v>57</v>
      </c>
      <c r="B7" s="28" t="s">
        <v>20</v>
      </c>
      <c r="C7" s="28">
        <v>201520</v>
      </c>
      <c r="D7" s="28">
        <v>20724</v>
      </c>
      <c r="E7" s="28" t="s">
        <v>0</v>
      </c>
      <c r="F7" s="28" t="s">
        <v>126</v>
      </c>
      <c r="G7" s="28" t="s">
        <v>125</v>
      </c>
      <c r="H7" s="28" t="s">
        <v>133</v>
      </c>
      <c r="I7" s="28" t="s">
        <v>134</v>
      </c>
      <c r="J7" s="28">
        <v>4</v>
      </c>
      <c r="K7" s="28">
        <v>6</v>
      </c>
      <c r="L7" s="28">
        <v>9</v>
      </c>
      <c r="M7" s="30">
        <v>0.44444</v>
      </c>
      <c r="N7" s="30">
        <v>0.66667</v>
      </c>
      <c r="O7" s="28">
        <v>1.67</v>
      </c>
      <c r="P7" s="28">
        <v>3.375</v>
      </c>
      <c r="Q7" s="28">
        <v>0.2</v>
      </c>
      <c r="R7" s="28">
        <v>151.88</v>
      </c>
      <c r="S7" s="28">
        <v>0.93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7"/>
  <mergeCells>
    <mergeCell ref="A1:S1"/>
    <mergeCell ref="A2:S2"/>
    <mergeCell ref="A3:S3"/>
  </mergeCells>
  <conditionalFormatting sqref="M6:M7">
    <cfRule type="cellIs" dxfId="0" priority="1" operator="lessThan">
      <formula>0.7</formula>
    </cfRule>
  </conditionalFormatting>
  <conditionalFormatting sqref="N6:N7">
    <cfRule type="cellIs" dxfId="1" priority="2" operator="lessThan">
      <formula>0.86</formula>
    </cfRule>
  </conditionalFormatting>
  <conditionalFormatting sqref="R6:R7">
    <cfRule type="cellIs" dxfId="2" priority="3" operator="lessThan">
      <formula>565</formula>
    </cfRule>
  </conditionalFormatting>
  <conditionalFormatting sqref="R6:R7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&amp;L&amp;B2017-2018 IVC Research Report for AIS&amp;RPrinted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2017-08-11T23:45:28+02:00</dcterms:created>
  <dcterms:modified xsi:type="dcterms:W3CDTF">2017-08-11T23:45:28+02:00</dcterms:modified>
  <dc:title>2017-2018 IVC Research Report for AIS</dc:title>
  <dc:description>AIS Specific Report Generated from Banner Data.</dc:description>
  <dc:subject>2017-2018 IVC Research Report for AIS</dc:subject>
  <cp:keywords/>
  <cp:category/>
</cp:coreProperties>
</file>